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D8svkjmVUCekkS/JIr7sEcantcYatfqq/mO89gzsOntI5R702ABrBfJTY2X1ohiVZfpJ+tCO6KGCEeu2RObdPw==" workbookSaltValue="wGkcACPj+iZ9wDgOfj88I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E11" i="13"/>
  <c r="BD11" i="13"/>
  <c r="BF17" i="8"/>
  <c r="EL19" i="8"/>
  <c r="AP12" i="11"/>
  <c r="EN19" i="8"/>
  <c r="F12" i="21"/>
  <c r="G10" i="3"/>
  <c r="G12" i="12"/>
  <c r="BA13" i="16"/>
  <c r="J10" i="2"/>
  <c r="AP10" i="11"/>
  <c r="T10" i="21"/>
  <c r="D11" i="2"/>
  <c r="ES19" i="8"/>
  <c r="R8" i="9"/>
  <c r="X12" i="21" s="1"/>
  <c r="BM19" i="8"/>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P13" i="16"/>
  <c r="AM13" i="20"/>
  <c r="X11" i="17"/>
  <c r="Z13" i="17"/>
  <c r="M18" i="2"/>
  <c r="T13" i="12"/>
  <c r="BK15" i="11"/>
  <c r="BK11" i="11"/>
  <c r="S9" i="17"/>
  <c r="X9" i="17"/>
  <c r="V11" i="11"/>
  <c r="AP10" i="21"/>
  <c r="BI10" i="11"/>
  <c r="BM12" i="11"/>
  <c r="Q10" i="21"/>
  <c r="BH9" i="11"/>
  <c r="S16" i="14"/>
  <c r="V16" i="14" s="1"/>
  <c r="S9" i="14"/>
  <c r="V9" i="14" s="1"/>
  <c r="V9" i="11"/>
  <c r="BI15" i="11"/>
  <c r="BJ11" i="11"/>
  <c r="BJ15" i="11"/>
  <c r="R10" i="21"/>
  <c r="R13" i="21" s="1"/>
  <c r="X17" i="20"/>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AA10" i="16"/>
  <c r="S15" i="17"/>
  <c r="E13" i="17"/>
  <c r="S16" i="17"/>
  <c r="L15" i="2"/>
  <c r="L12"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17" i="6" l="1"/>
  <c r="E18" i="12"/>
  <c r="BD17" i="8"/>
  <c r="AV18" i="21"/>
  <c r="BM18" i="16"/>
  <c r="G18" i="12"/>
  <c r="L19" i="8"/>
  <c r="I19" i="8"/>
  <c r="AH13" i="16"/>
  <c r="D13" i="7"/>
  <c r="Y12" i="11"/>
  <c r="B13" i="7"/>
  <c r="BE12" i="8"/>
  <c r="I12" i="7" s="1"/>
  <c r="AE19" i="8"/>
  <c r="AC10" i="11"/>
  <c r="Q19" i="8"/>
  <c r="H13" i="12"/>
  <c r="BG10" i="8"/>
  <c r="S19" i="8"/>
  <c r="AO9" i="11"/>
  <c r="BF11" i="8"/>
  <c r="BF9" i="8"/>
  <c r="F15" i="16"/>
  <c r="BL15" i="16" s="1"/>
  <c r="BF15" i="8"/>
  <c r="AO17" i="11"/>
  <c r="AO15" i="11"/>
  <c r="AL16" i="11"/>
  <c r="BE12" i="21"/>
  <c r="BG16" i="13"/>
  <c r="BD16" i="13"/>
  <c r="BE15" i="13"/>
  <c r="BG9" i="8"/>
  <c r="K9" i="7" s="1"/>
  <c r="BG12" i="8"/>
  <c r="K12" i="7" s="1"/>
  <c r="AL9" i="11"/>
  <c r="E11" i="6"/>
  <c r="AB13" i="21"/>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<sst xmlns="http://schemas.openxmlformats.org/spreadsheetml/2006/main" count="2094" uniqueCount="913">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</sst>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3uKRiUMyuttk3omm1sQBlSOOjuHszGUOM38zmxThhWkeGmzb0OpwGpWXAqmLv0x9GXybndwM8RmpEu5598Zdg==" saltValue="WWuN7ey3jUuoY/72LfPG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10</v>
      </c>
      <c r="F10" s="230">
        <f>IF(ISNUMBER(Datos!K10),Datos!K10," - ")</f>
        <v>6</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0.5714285714285714</v>
      </c>
      <c r="L10" s="1201">
        <f>IF(ISNUMBER(NºAsuntos!I10/NºAsuntos!G10),(NºAsuntos!I10/NºAsuntos!G10)*11," - ")</f>
        <v>20.166666666666664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43.269911504424776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10</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445</v>
      </c>
      <c r="D16" s="229">
        <f>IF(ISNUMBER(IF(D_I="SI",Datos!I16,Datos!I16+Datos!AC16)),IF(D_I="SI",Datos!I16,Datos!I16+Datos!AC16)," - ")</f>
        <v>445</v>
      </c>
      <c r="E16" s="230">
        <f>IF(ISNUMBER(IF(D_I="SI",Datos!J16,Datos!J16+Datos!AD16)),IF(D_I="SI",Datos!J16,Datos!J16+Datos!AD16)," - ")</f>
        <v>324</v>
      </c>
      <c r="F16" s="230">
        <f>IF(ISNUMBER(IF(D_I="SI",Datos!K16,Datos!K16+Datos!AE16)),IF(D_I="SI",Datos!K16,Datos!K16+Datos!AE16)," - ")</f>
        <v>278</v>
      </c>
      <c r="G16" s="1189" t="str">
        <f>IF(Datos!E16&lt;&gt;"",Datos!E16,Datos!D16)</f>
        <v>04</v>
      </c>
      <c r="H16" s="231">
        <f>IF(ISNUMBER(IF(D_I="SI",Datos!L16,Datos!L16+Datos!AF16)),IF(D_I="SI",Datos!L16,Datos!L16+Datos!AF16)," - ")</f>
        <v>491</v>
      </c>
      <c r="I16" s="1199" t="str">
        <f>IF(ISNUMBER(Datos!AS16/Datos!BM16),Datos!AS16/Datos!BM16," - ")</f>
        <v xml:space="preserve"> - </v>
      </c>
      <c r="J16" s="1200">
        <f>IF(ISNUMBER(Datos!BY16/Datos!CN16),Datos!BY16/Datos!CN16," - ")</f>
        <v>0</v>
      </c>
      <c r="K16" s="234">
        <f t="shared" si="3"/>
        <v>0.10337078651685393</v>
      </c>
      <c r="L16" s="1201">
        <f>IF(ISNUMBER(NºAsuntos!I16/NºAsuntos!G16),(NºAsuntos!I16/NºAsuntos!G16)*11," - ")</f>
        <v>19.428057553956833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v>
      </c>
      <c r="D17" s="229">
        <f>IF(ISNUMBER(IF(D_I="SI",Datos!I17,Datos!I17+Datos!AC17)),IF(D_I="SI",Datos!I17,Datos!I17+Datos!AC17)," - ")</f>
        <v>43</v>
      </c>
      <c r="E17" s="230">
        <f>IF(ISNUMBER(IF(D_I="SI",Datos!J17,Datos!J17+Datos!AD17)),IF(D_I="SI",Datos!J17,Datos!J17+Datos!AD17)," - ")</f>
        <v>32</v>
      </c>
      <c r="F17" s="230">
        <f>IF(ISNUMBER(IF(D_I="SI",Datos!K17,Datos!K17+Datos!AE17)),IF(D_I="SI",Datos!K17,Datos!K17+Datos!AE17)," - ")</f>
        <v>32</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14.78125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488</v>
      </c>
      <c r="D18" s="1206">
        <f>SUBTOTAL(9,D15:D17)</f>
        <v>488</v>
      </c>
      <c r="E18" s="1207">
        <f>SUBTOTAL(9,E15:E17)</f>
        <v>356</v>
      </c>
      <c r="F18" s="1207">
        <f>SUBTOTAL(9,F15:F17)</f>
        <v>310</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495</v>
      </c>
      <c r="D19" s="1228">
        <f>SUBTOTAL(9,D9:D18)</f>
        <v>495</v>
      </c>
      <c r="E19" s="1229">
        <f>SUBTOTAL(9,E9:E18)</f>
        <v>366</v>
      </c>
      <c r="F19" s="1229">
        <f>SUBTOTAL(9,F9:F18)</f>
        <v>316</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kv3IjwblTlPyUl9oF1W2X7wH1KUJYMDY1zADVY+zQAAv4ojYDZrvBHjDpHpCIR/r4wxoLFrVSYXHl6CwBUt3A==" saltValue="OjXScv/mB/BMuT7jRK3p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pOKqjkCD0wuB6WkbfWhyvA0FKfmGbS3VUpmk+CGdlVU+AT72Gr21UjLB61zoxlSrbNbW9VYNQ3bb+p+F6B+nA==" saltValue="07cpaY9zgIpt0HXC+jnY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10</v>
      </c>
      <c r="K10" s="185">
        <v>6</v>
      </c>
      <c r="L10" s="185">
        <v>11</v>
      </c>
      <c r="M10" s="185">
        <v>3</v>
      </c>
      <c r="N10" s="185">
        <v>4</v>
      </c>
      <c r="O10" s="185">
        <v>0</v>
      </c>
      <c r="P10" s="185">
        <v>1</v>
      </c>
      <c r="Q10" s="185">
        <v>4</v>
      </c>
      <c r="R10" s="185">
        <v>15</v>
      </c>
      <c r="S10" s="185">
        <v>3</v>
      </c>
      <c r="T10" s="185">
        <v>3</v>
      </c>
      <c r="U10" s="185">
        <v>3</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3</v>
      </c>
      <c r="BA10" s="130">
        <f t="shared" si="0"/>
        <v>3</v>
      </c>
      <c r="BB10" s="130">
        <f t="shared" si="0"/>
        <v>3</v>
      </c>
      <c r="BC10" s="126">
        <f t="shared" si="0"/>
        <v>0</v>
      </c>
      <c r="BD10" s="127">
        <f>IF(ISNUMBER(BA10/AZ10),BA10/AZ10," - ")</f>
        <v>1</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819</v>
      </c>
      <c r="J12" s="187">
        <v>253</v>
      </c>
      <c r="K12" s="187">
        <v>219</v>
      </c>
      <c r="L12" s="187">
        <v>853</v>
      </c>
      <c r="M12" s="187">
        <v>30</v>
      </c>
      <c r="N12" s="187">
        <v>109</v>
      </c>
      <c r="O12" s="185">
        <v>85</v>
      </c>
      <c r="P12" s="187">
        <v>43</v>
      </c>
      <c r="Q12" s="187">
        <v>24</v>
      </c>
      <c r="R12" s="187">
        <v>864</v>
      </c>
      <c r="S12" s="187">
        <v>563</v>
      </c>
      <c r="T12" s="187">
        <v>181</v>
      </c>
      <c r="U12" s="187">
        <v>144</v>
      </c>
      <c r="V12" s="187">
        <v>600</v>
      </c>
      <c r="W12" s="187">
        <v>38</v>
      </c>
      <c r="X12" s="193">
        <v>53</v>
      </c>
      <c r="Y12" s="195">
        <v>32</v>
      </c>
      <c r="Z12" s="185">
        <v>11</v>
      </c>
      <c r="AA12" s="185">
        <v>7</v>
      </c>
      <c r="AB12" s="185">
        <v>36</v>
      </c>
      <c r="AC12" s="187">
        <v>0</v>
      </c>
      <c r="AD12" s="187">
        <v>0</v>
      </c>
      <c r="AE12" s="187">
        <v>0</v>
      </c>
      <c r="AF12" s="193">
        <v>0</v>
      </c>
      <c r="AG12" s="206">
        <v>19</v>
      </c>
      <c r="AH12" s="187">
        <v>5</v>
      </c>
      <c r="AI12" s="187">
        <v>3</v>
      </c>
      <c r="AJ12" s="207">
        <v>21</v>
      </c>
      <c r="AK12" s="186">
        <v>0</v>
      </c>
      <c r="AL12" s="187">
        <v>0</v>
      </c>
      <c r="AM12" s="187">
        <v>0</v>
      </c>
      <c r="AN12" s="193">
        <v>0</v>
      </c>
      <c r="AO12" s="263">
        <v>1</v>
      </c>
      <c r="AP12" s="159">
        <v>1</v>
      </c>
      <c r="AQ12" s="159">
        <v>1</v>
      </c>
      <c r="AR12" s="158">
        <v>1</v>
      </c>
      <c r="AS12" s="349" t="s">
        <v>811</v>
      </c>
      <c r="AT12" s="207"/>
      <c r="AU12" s="206"/>
      <c r="AV12" s="207"/>
      <c r="AW12" s="206"/>
      <c r="AX12" s="207"/>
      <c r="AY12" s="127">
        <f t="shared" si="1"/>
        <v>582</v>
      </c>
      <c r="AZ12" s="128">
        <f t="shared" si="1"/>
        <v>186</v>
      </c>
      <c r="BA12" s="128">
        <f t="shared" si="1"/>
        <v>147</v>
      </c>
      <c r="BB12" s="128">
        <f t="shared" si="1"/>
        <v>621</v>
      </c>
      <c r="BC12" s="126">
        <f>IF(ISNUMBER(X12),X12," - ")</f>
        <v>53</v>
      </c>
      <c r="BD12" s="127">
        <f t="shared" si="2"/>
        <v>0.79032258064516125</v>
      </c>
      <c r="BE12" s="128">
        <f t="shared" si="3"/>
        <v>4.2244897959183669</v>
      </c>
      <c r="BF12" s="128">
        <f t="shared" si="4"/>
        <v>0.36054421768707484</v>
      </c>
      <c r="BG12" s="200">
        <f t="shared" si="5"/>
        <v>5.2244897959183669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826</v>
      </c>
      <c r="J13" s="188">
        <f t="shared" si="6"/>
        <v>263</v>
      </c>
      <c r="K13" s="188">
        <f t="shared" si="6"/>
        <v>225</v>
      </c>
      <c r="L13" s="188">
        <f t="shared" si="6"/>
        <v>864</v>
      </c>
      <c r="M13" s="188">
        <f t="shared" si="6"/>
        <v>33</v>
      </c>
      <c r="N13" s="188">
        <f t="shared" si="6"/>
        <v>113</v>
      </c>
      <c r="O13" s="188">
        <f t="shared" si="6"/>
        <v>85</v>
      </c>
      <c r="P13" s="188">
        <f t="shared" si="6"/>
        <v>44</v>
      </c>
      <c r="Q13" s="188">
        <f t="shared" si="6"/>
        <v>28</v>
      </c>
      <c r="R13" s="188">
        <f t="shared" si="6"/>
        <v>879</v>
      </c>
      <c r="S13" s="188">
        <f t="shared" si="6"/>
        <v>566</v>
      </c>
      <c r="T13" s="188">
        <f t="shared" si="6"/>
        <v>184</v>
      </c>
      <c r="U13" s="188">
        <f t="shared" si="6"/>
        <v>147</v>
      </c>
      <c r="V13" s="188">
        <f t="shared" si="6"/>
        <v>603</v>
      </c>
      <c r="W13" s="188">
        <f t="shared" si="6"/>
        <v>38</v>
      </c>
      <c r="X13" s="188">
        <f t="shared" si="6"/>
        <v>53</v>
      </c>
      <c r="Y13" s="188">
        <f t="shared" si="6"/>
        <v>32</v>
      </c>
      <c r="Z13" s="188">
        <f t="shared" si="6"/>
        <v>11</v>
      </c>
      <c r="AA13" s="188">
        <f t="shared" si="6"/>
        <v>7</v>
      </c>
      <c r="AB13" s="188">
        <f t="shared" si="6"/>
        <v>36</v>
      </c>
      <c r="AC13" s="188">
        <f t="shared" si="6"/>
        <v>0</v>
      </c>
      <c r="AD13" s="188">
        <f t="shared" si="6"/>
        <v>0</v>
      </c>
      <c r="AE13" s="188">
        <f t="shared" si="6"/>
        <v>0</v>
      </c>
      <c r="AF13" s="188">
        <f>SUBTOTAL(9,AF9:AF12)</f>
        <v>0</v>
      </c>
      <c r="AG13" s="188">
        <f t="shared" ref="AG13:AT13" si="7">SUBTOTAL(9,AG8:AG12)</f>
        <v>19</v>
      </c>
      <c r="AH13" s="188">
        <f t="shared" si="7"/>
        <v>5</v>
      </c>
      <c r="AI13" s="188">
        <f t="shared" si="7"/>
        <v>3</v>
      </c>
      <c r="AJ13" s="188">
        <f t="shared" si="7"/>
        <v>21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585</v>
      </c>
      <c r="AZ13" s="188">
        <f>SUBTOTAL(9,AZ8:AZ12)</f>
        <v>189</v>
      </c>
      <c r="BA13" s="188">
        <f>SUBTOTAL(9,BA8:BA12)</f>
        <v>150</v>
      </c>
      <c r="BB13" s="188">
        <f>SUBTOTAL(9,BB8:BB12)</f>
        <v>624</v>
      </c>
      <c r="BC13" s="188">
        <f>SUBTOTAL(9,BC8:BC12)</f>
        <v>53</v>
      </c>
      <c r="BD13" s="209">
        <f>IF(ISNUMBER(BA13/AZ13),BA13/AZ13," - ")</f>
        <v>0.79365079365079361</v>
      </c>
      <c r="BE13" s="210">
        <f>IF(ISNUMBER(BB13/BA13),BB13/BA13, " - ")</f>
        <v>4.16</v>
      </c>
      <c r="BF13" s="210">
        <f>IF(ISNUMBER(BC13/BA13),BC13/BA13, " - ")</f>
        <v>0.35333333333333333</v>
      </c>
      <c r="BG13" s="211">
        <f>IF(ISNUMBER((AY13+AZ13)/BA13),(AY13+AZ13)/BA13," - ")</f>
        <v>5.16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445</v>
      </c>
      <c r="J16" s="187">
        <v>324</v>
      </c>
      <c r="K16" s="187">
        <v>278</v>
      </c>
      <c r="L16" s="187">
        <v>491</v>
      </c>
      <c r="M16" s="187">
        <v>34</v>
      </c>
      <c r="N16" s="187">
        <v>196</v>
      </c>
      <c r="O16" s="185">
        <v>0</v>
      </c>
      <c r="P16" s="187">
        <v>11</v>
      </c>
      <c r="Q16" s="187">
        <v>3</v>
      </c>
      <c r="R16" s="187">
        <v>55</v>
      </c>
      <c r="S16" s="187">
        <v>362</v>
      </c>
      <c r="T16" s="187">
        <v>361</v>
      </c>
      <c r="U16" s="187">
        <v>318</v>
      </c>
      <c r="V16" s="187">
        <v>405</v>
      </c>
      <c r="W16" s="187">
        <v>34</v>
      </c>
      <c r="X16" s="193">
        <v>244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362</v>
      </c>
      <c r="AZ16" s="128">
        <f t="shared" si="9"/>
        <v>361</v>
      </c>
      <c r="BA16" s="128">
        <f t="shared" si="9"/>
        <v>318</v>
      </c>
      <c r="BB16" s="128">
        <f t="shared" si="9"/>
        <v>405</v>
      </c>
      <c r="BC16" s="126">
        <f>IF(ISNUMBER(W16),W16," - ")</f>
        <v>34</v>
      </c>
      <c r="BD16" s="127">
        <f t="shared" ref="BD16" si="11">IF(ISNUMBER(BA16/AZ16),BA16/AZ16," - ")</f>
        <v>0.88088642659279781</v>
      </c>
      <c r="BE16" s="128">
        <f t="shared" ref="BE16" si="12">IF(ISNUMBER(BB16/BA16),BB16/BA16, " - ")</f>
        <v>1.2735849056603774</v>
      </c>
      <c r="BF16" s="128">
        <f t="shared" ref="BF16" si="13">IF(ISNUMBER(BC16/BA16),BC16/BA16, " - ")</f>
        <v>0.1069182389937107</v>
      </c>
      <c r="BG16" s="200">
        <f t="shared" si="10"/>
        <v>2.2735849056603774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v>
      </c>
      <c r="J17" s="187">
        <v>32</v>
      </c>
      <c r="K17" s="187">
        <v>32</v>
      </c>
      <c r="L17" s="187">
        <v>43</v>
      </c>
      <c r="M17" s="187">
        <v>6</v>
      </c>
      <c r="N17" s="187">
        <v>15</v>
      </c>
      <c r="O17" s="187">
        <v>0</v>
      </c>
      <c r="P17" s="187">
        <v>0</v>
      </c>
      <c r="Q17" s="187">
        <v>0</v>
      </c>
      <c r="R17" s="187">
        <v>2</v>
      </c>
      <c r="S17" s="187">
        <v>25</v>
      </c>
      <c r="T17" s="187">
        <v>27</v>
      </c>
      <c r="U17" s="187">
        <v>20</v>
      </c>
      <c r="V17" s="187">
        <v>32</v>
      </c>
      <c r="W17" s="187">
        <v>4</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27</v>
      </c>
      <c r="BA17" s="130">
        <f t="shared" si="14"/>
        <v>20</v>
      </c>
      <c r="BB17" s="130">
        <f t="shared" si="14"/>
        <v>32</v>
      </c>
      <c r="BC17" s="126">
        <f>IF(ISNUMBER(W17),W17," - ")</f>
        <v>4</v>
      </c>
      <c r="BD17" s="127">
        <f>IF(ISNUMBER(BA17/AZ17),BA17/AZ17," - ")</f>
        <v>0.7407407407407407</v>
      </c>
      <c r="BE17" s="128">
        <f>IF(ISNUMBER(BB17/BA17),BB17/BA17, " - ")</f>
        <v>1.6</v>
      </c>
      <c r="BF17" s="128">
        <f>IF(ISNUMBER(BC17/BA17),BC17/BA17, " - ")</f>
        <v>0.2</v>
      </c>
      <c r="BG17" s="200">
        <f>IF(ISNUMBER((AY17+AZ17)/BA17),(AY17+AZ17)/BA17," - ")</f>
        <v>2.6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488</v>
      </c>
      <c r="J18" s="188">
        <f t="shared" si="15"/>
        <v>356</v>
      </c>
      <c r="K18" s="188">
        <f t="shared" si="15"/>
        <v>310</v>
      </c>
      <c r="L18" s="188">
        <f t="shared" si="15"/>
        <v>534</v>
      </c>
      <c r="M18" s="188">
        <f t="shared" si="15"/>
        <v>40</v>
      </c>
      <c r="N18" s="188">
        <f t="shared" si="15"/>
        <v>211</v>
      </c>
      <c r="O18" s="188">
        <f t="shared" si="15"/>
        <v>0</v>
      </c>
      <c r="P18" s="188">
        <f t="shared" si="15"/>
        <v>11</v>
      </c>
      <c r="Q18" s="188">
        <f t="shared" si="15"/>
        <v>3</v>
      </c>
      <c r="R18" s="188">
        <f t="shared" si="15"/>
        <v>57</v>
      </c>
      <c r="S18" s="188">
        <f t="shared" si="15"/>
        <v>387</v>
      </c>
      <c r="T18" s="188">
        <f t="shared" si="15"/>
        <v>388</v>
      </c>
      <c r="U18" s="188">
        <f t="shared" si="15"/>
        <v>338</v>
      </c>
      <c r="V18" s="188">
        <f t="shared" si="15"/>
        <v>437</v>
      </c>
      <c r="W18" s="188">
        <f t="shared" si="15"/>
        <v>38</v>
      </c>
      <c r="X18" s="188">
        <f t="shared" si="15"/>
        <v>257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387</v>
      </c>
      <c r="AZ18" s="188">
        <f>SUBTOTAL(9,AZ14:AZ17)</f>
        <v>388</v>
      </c>
      <c r="BA18" s="188">
        <f>SUBTOTAL(9,BA14:BA17)</f>
        <v>338</v>
      </c>
      <c r="BB18" s="188">
        <f>SUBTOTAL(9,BB14:BB17)</f>
        <v>437</v>
      </c>
      <c r="BC18" s="188">
        <f>SUBTOTAL(9,BC14:BC17)</f>
        <v>38</v>
      </c>
      <c r="BD18" s="209">
        <f>IF(ISNUMBER(BA18/AZ18),BA18/AZ18," - ")</f>
        <v>0.87113402061855671</v>
      </c>
      <c r="BE18" s="210">
        <f>IF(ISNUMBER(BB18/BA18),BB18/BA18, " - ")</f>
        <v>1.2928994082840237</v>
      </c>
      <c r="BF18" s="210">
        <f>IF(ISNUMBER(BC18/BA18),BC18/BA18, " - ")</f>
        <v>0.11242603550295859</v>
      </c>
      <c r="BG18" s="211">
        <f>IF(ISNUMBER((AY18+AZ18)/BA18),(AY18+AZ18)/BA18," - ")</f>
        <v>2.2928994082840237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1314</v>
      </c>
      <c r="J19" s="135">
        <f t="shared" si="18"/>
        <v>619</v>
      </c>
      <c r="K19" s="135">
        <f t="shared" si="18"/>
        <v>535</v>
      </c>
      <c r="L19" s="135">
        <f t="shared" si="18"/>
        <v>1398</v>
      </c>
      <c r="M19" s="135">
        <f t="shared" si="18"/>
        <v>73</v>
      </c>
      <c r="N19" s="135">
        <f t="shared" si="18"/>
        <v>324</v>
      </c>
      <c r="O19" s="135">
        <f t="shared" si="18"/>
        <v>85</v>
      </c>
      <c r="P19" s="135">
        <f t="shared" si="18"/>
        <v>55</v>
      </c>
      <c r="Q19" s="135">
        <f t="shared" si="18"/>
        <v>31</v>
      </c>
      <c r="R19" s="135">
        <f t="shared" si="18"/>
        <v>936</v>
      </c>
      <c r="S19" s="135">
        <f t="shared" si="18"/>
        <v>953</v>
      </c>
      <c r="T19" s="135">
        <f t="shared" si="18"/>
        <v>572</v>
      </c>
      <c r="U19" s="135">
        <f t="shared" si="18"/>
        <v>485</v>
      </c>
      <c r="V19" s="135">
        <f t="shared" si="18"/>
        <v>1040</v>
      </c>
      <c r="W19" s="135">
        <f t="shared" si="18"/>
        <v>76</v>
      </c>
      <c r="X19" s="135">
        <f t="shared" si="18"/>
        <v>310</v>
      </c>
      <c r="Y19" s="135">
        <f t="shared" si="18"/>
        <v>32</v>
      </c>
      <c r="Z19" s="135">
        <f t="shared" si="18"/>
        <v>11</v>
      </c>
      <c r="AA19" s="135">
        <f t="shared" si="18"/>
        <v>7</v>
      </c>
      <c r="AB19" s="135">
        <f t="shared" si="18"/>
        <v>36</v>
      </c>
      <c r="AC19" s="135">
        <f t="shared" si="18"/>
        <v>0</v>
      </c>
      <c r="AD19" s="135">
        <f t="shared" si="18"/>
        <v>0</v>
      </c>
      <c r="AE19" s="135">
        <f t="shared" si="18"/>
        <v>0</v>
      </c>
      <c r="AF19" s="135">
        <f t="shared" si="18"/>
        <v>0</v>
      </c>
      <c r="AG19" s="135">
        <f t="shared" si="18"/>
        <v>19</v>
      </c>
      <c r="AH19" s="135">
        <f t="shared" si="18"/>
        <v>5</v>
      </c>
      <c r="AI19" s="135">
        <f t="shared" si="18"/>
        <v>3</v>
      </c>
      <c r="AJ19" s="135">
        <f t="shared" si="18"/>
        <v>21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972</v>
      </c>
      <c r="AZ19" s="135">
        <f>SUBTOTAL(9,AZ9:AZ18)</f>
        <v>577</v>
      </c>
      <c r="BA19" s="135">
        <f>SUBTOTAL(9,BA9:BA18)</f>
        <v>488</v>
      </c>
      <c r="BB19" s="135">
        <f>SUBTOTAL(9,BB9:BB18)</f>
        <v>1061</v>
      </c>
      <c r="BC19" s="136">
        <f>SUBTOTAL(9,BC9:BC18)</f>
        <v>91</v>
      </c>
      <c r="BD19" s="217">
        <f>IF(ISNUMBER(BA19/AZ19),BA19/AZ19," - ")</f>
        <v>0.84575389948006929</v>
      </c>
      <c r="BE19" s="214">
        <f>IF(ISNUMBER(BB19/BA19),BB19/BA19, " - ")</f>
        <v>2.1741803278688523</v>
      </c>
      <c r="BF19" s="214">
        <f>IF(ISNUMBER(BC19/BA19),BC19/BA19, " - ")</f>
        <v>0.18647540983606559</v>
      </c>
      <c r="BG19" s="136">
        <f>IF(ISNUMBER((AY19+AZ19)/BA19),(AY19+AZ19)/BA19," - ")</f>
        <v>3.1741803278688523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kjTo1VvKZpViyOIHUi8LZpxC6alOWNAyKlPUG4vi5+6mQkl3HEZBuLG90QZ60ieUXY5Zv6NVq2Kr9A13En37Q==" saltValue="TzB1T4XreUVxTJjzuSJ/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CHYInz5hUxMXgRHlztP5Z5RV05TnfN8u5AY4wpHLT+TOgjys9DgcImRQnrE0OWgSqEJBUJnQqYy3B1tMt2OYw==" saltValue="vwAgEE4i6ky1OCpK0QHS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TREMP</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4</v>
      </c>
      <c r="AD10" s="503"/>
      <c r="AE10" s="516"/>
      <c r="AF10" s="505">
        <f>IF(ISNUMBER(Datos!L10),Datos!L10,"-")</f>
        <v>11</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4</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3.6666666666666661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-0.16666666666666666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36</v>
      </c>
      <c r="AI12" s="503" t="str">
        <f>IF(ISNUMBER(Datos!CD12),Datos!CD12,"-")</f>
        <v>-</v>
      </c>
      <c r="AJ12" s="503" t="str">
        <f>IF(ISNUMBER(Datos!EN12),Datos!EN12," - ")</f>
        <v xml:space="preserve"> - </v>
      </c>
      <c r="AK12" s="503"/>
      <c r="AL12" s="504"/>
      <c r="AM12" s="671">
        <f>IF(ISNUMBER(Datos!R12),Datos!R12," - ")</f>
        <v>864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109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0.85606060606060608</v>
      </c>
      <c r="BH12" s="669">
        <f>IF(ISNUMBER(((IF(J_V="SI",Datos!L12/Datos!K12,(Datos!L12+Datos!AB12)/(Datos!K12+Datos!AA12)))*11)/factor_trimestre),((IF(J_V="SI",Datos!L12/Datos!K12,(Datos!L12+Datos!AB12)/(Datos!K12+Datos!AA12)))*11)/factor_trimestre," - ")</f>
        <v>7.8672566371681407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2.2485207100591716E-2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28</v>
      </c>
      <c r="AD13" s="1045">
        <f t="shared" si="1"/>
        <v>0</v>
      </c>
      <c r="AE13" s="1045">
        <f t="shared" si="1"/>
        <v>0</v>
      </c>
      <c r="AF13" s="1045">
        <f t="shared" si="1"/>
        <v>11</v>
      </c>
      <c r="AG13" s="1045">
        <f t="shared" si="1"/>
        <v>0</v>
      </c>
      <c r="AH13" s="1045">
        <f t="shared" si="1"/>
        <v>36</v>
      </c>
      <c r="AI13" s="1045">
        <f t="shared" si="1"/>
        <v>0</v>
      </c>
      <c r="AJ13" s="1045">
        <f t="shared" si="1"/>
        <v>0</v>
      </c>
      <c r="AK13" s="1045">
        <f t="shared" si="1"/>
        <v>0</v>
      </c>
      <c r="AL13" s="1045">
        <f t="shared" si="1"/>
        <v>0</v>
      </c>
      <c r="AM13" s="1045">
        <f t="shared" si="1"/>
        <v>879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113</v>
      </c>
      <c r="BE13" s="1045">
        <f t="shared" si="1"/>
        <v>0</v>
      </c>
      <c r="BF13" s="1045">
        <f t="shared" si="1"/>
        <v>0</v>
      </c>
      <c r="BG13" s="1045">
        <f>IF(ISNUMBER(Datos!K13/Datos!J13),Datos!K13/Datos!J13," - ")</f>
        <v>0.85551330798479086</v>
      </c>
      <c r="BH13" s="1049">
        <f>IF(ISNUMBER(((Datos!L13/Datos!K13)*11)/factor_trimestre),((Datos!L13/Datos!K13)*11)/factor_trimestre," - ")</f>
        <v>7.6799999999999988</v>
      </c>
      <c r="BI13" s="1045">
        <f>IF(ISNUMBER('Resol  Asuntos'!D13/NºAsuntos!G13),'Resol  Asuntos'!D13/NºAsuntos!G13," - ")</f>
        <v>0.14224137931034483</v>
      </c>
      <c r="BJ13" s="1045" t="str">
        <f>IF(ISNUMBER(Datos!CI13/Datos!CJ13),Datos!CI13/Datos!CJ13," - ")</f>
        <v xml:space="preserve"> - </v>
      </c>
      <c r="BK13" s="1045">
        <f>SUBTOTAL(9,BK8:BK12)</f>
        <v>0</v>
      </c>
      <c r="BL13" s="1045">
        <f>IF(ISNUMBER((I13-AB13+L13)/(F13)),(I13-AB13+L13)/(F13)," - ")</f>
        <v>-0.8571428571428571</v>
      </c>
      <c r="BM13" s="1050">
        <f>SUBTOTAL(9,BM9:BM12)</f>
        <v>-0.14418145956607495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445</v>
      </c>
      <c r="G16" s="650">
        <f>IF(ISNUMBER(IF(D_I="SI",Datos!I16,Datos!I16+Datos!AC16)),IF(D_I="SI",Datos!I16,Datos!I16+Datos!AC16)," - ")</f>
        <v>445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278</v>
      </c>
      <c r="AC16" s="230">
        <f>IF(ISNUMBER(Datos!Q16),Datos!Q16," - ")</f>
        <v>3</v>
      </c>
      <c r="AD16" s="343"/>
      <c r="AE16" s="515"/>
      <c r="AF16" s="648">
        <f>IF(ISNUMBER(IF(D_I="SI",Datos!L16,Datos!L16+Datos!AF16)),IF(D_I="SI",Datos!L16,Datos!L16+Datos!AF16)," - ")</f>
        <v>491</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0.85802469135802473</v>
      </c>
      <c r="BH16" s="669">
        <f>IF(ISNUMBER(((IF(D_I="SI",Datos!L16/Datos!K16,(Datos!L16+Datos!AF16)/(Datos!K16+Datos!AE16)))*11)/factor_trimestre),((IF(D_I="SI",Datos!L16/Datos!K16,(Datos!L16+Datos!AF16)/(Datos!K16+Datos!AE16)))*11)/factor_trimestre," - ")</f>
        <v>3.5323741007194243</v>
      </c>
      <c r="BI16" s="247">
        <f>IF(ISNUMBER('Resol  Asuntos'!D16/NºAsuntos!G16),'Resol  Asuntos'!D16/NºAsuntos!G16," - ")</f>
        <v>0.1223021582733813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43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2.6875</v>
      </c>
      <c r="BI17" s="668">
        <f>IF(ISNUMBER('Resol  Asuntos'!D17/NºAsuntos!G17),'Resol  Asuntos'!D17/NºAsuntos!G17," - ")</f>
        <v>0.1875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445</v>
      </c>
      <c r="G18" s="1044">
        <f>SUBTOTAL(9,G15:G17)</f>
        <v>488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310</v>
      </c>
      <c r="AC18" s="1045">
        <f t="shared" si="4"/>
        <v>3</v>
      </c>
      <c r="AD18" s="1045">
        <f t="shared" si="4"/>
        <v>0</v>
      </c>
      <c r="AE18" s="1045">
        <f t="shared" si="4"/>
        <v>0</v>
      </c>
      <c r="AF18" s="1045">
        <f t="shared" si="4"/>
        <v>534</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211</v>
      </c>
      <c r="BE18" s="1045">
        <f t="shared" si="4"/>
        <v>0</v>
      </c>
      <c r="BF18" s="1045">
        <f t="shared" si="4"/>
        <v>0</v>
      </c>
      <c r="BG18" s="1045">
        <f>IF(ISNUMBER(Datos!K18/Datos!J18),Datos!K18/Datos!J18," - ")</f>
        <v>0.8707865168539326</v>
      </c>
      <c r="BH18" s="1049">
        <f>IF(ISNUMBER(((Datos!L18/Datos!K18)*11)/factor_trimestre),((Datos!L18/Datos!K18)*11)/factor_trimestre," - ")</f>
        <v>3.4451612903225808</v>
      </c>
      <c r="BI18" s="1045">
        <f>SUBTOTAL(9,BI15:BI17)</f>
        <v>0.30980215827338131</v>
      </c>
      <c r="BJ18" s="1045">
        <f>SUBTOTAL(9,BJ15:BJ17)</f>
        <v>0</v>
      </c>
      <c r="BK18" s="1045">
        <f>SUBTOTAL(9,BK15:BK17)</f>
        <v>0</v>
      </c>
      <c r="BL18" s="1045">
        <f>IF(ISNUMBER((I18-AB18+L18)/(F18)),(I18-AB18+L18)/(F18)," - ")</f>
        <v>-0.6966292134831461</v>
      </c>
      <c r="BM18" s="1051">
        <f>IF(ISNUMBER((Datos!P18-Datos!Q18)/(Datos!R18-Datos!P18+Datos!Q18)),(Datos!P18-Datos!Q18)/(Datos!R18-Datos!P18+Datos!Q18)," - ")</f>
        <v>0.16326530612244897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452</v>
      </c>
      <c r="G19" s="966">
        <f t="shared" si="6"/>
        <v>495</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316</v>
      </c>
      <c r="AC19" s="967">
        <f t="shared" si="7"/>
        <v>31</v>
      </c>
      <c r="AD19" s="967">
        <f t="shared" si="7"/>
        <v>0</v>
      </c>
      <c r="AE19" s="967">
        <f t="shared" si="7"/>
        <v>0</v>
      </c>
      <c r="AF19" s="974">
        <f t="shared" si="7"/>
        <v>545</v>
      </c>
      <c r="AG19" s="974">
        <f t="shared" si="7"/>
        <v>0</v>
      </c>
      <c r="AH19" s="974">
        <f t="shared" si="7"/>
        <v>36</v>
      </c>
      <c r="AI19" s="974">
        <f t="shared" si="7"/>
        <v>0</v>
      </c>
      <c r="AJ19" s="967">
        <f t="shared" si="7"/>
        <v>0</v>
      </c>
      <c r="AK19" s="974">
        <f t="shared" si="7"/>
        <v>0</v>
      </c>
      <c r="AL19" s="974">
        <f t="shared" si="7"/>
        <v>0</v>
      </c>
      <c r="AM19" s="974">
        <f t="shared" si="7"/>
        <v>936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73</v>
      </c>
      <c r="BD19" s="966">
        <f t="shared" si="7"/>
        <v>324</v>
      </c>
      <c r="BE19" s="966">
        <f t="shared" si="7"/>
        <v>0</v>
      </c>
      <c r="BF19" s="976">
        <f t="shared" si="7"/>
        <v>0</v>
      </c>
      <c r="BG19" s="1061">
        <f>IF(ISNUMBER(Datos!K19/Datos!J19),Datos!K19/Datos!J19," - ")</f>
        <v>0.86429725363489496</v>
      </c>
      <c r="BH19" s="1061">
        <f>IF(ISNUMBER(((Datos!L19/Datos!K19)*11)/factor_trimestre),((Datos!L19/Datos!K19)*11)/factor_trimestre," - ")</f>
        <v>5.226168224299065</v>
      </c>
      <c r="BI19" s="959">
        <f>IF(ISNUMBER(Datos!J19/Datos!I19),Datos!J19/Datos!I19," - ")</f>
        <v>0.4710806697108067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-0.69911504424778759</v>
      </c>
      <c r="BM19" s="1035">
        <f>IF(ISNUMBER((Datos!P19-Datos!Q19+R19)/(Datos!R19-Datos!P19+Datos!Q19-R19)),(Datos!P19-Datos!Q19+R19)/(Datos!R19-Datos!P19+Datos!Q19-R19)," - ")</f>
        <v>2.6315789473684209E-2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252.87941790505607</v>
      </c>
      <c r="G21" s="600">
        <f>IF(ISNUMBER(STDEV(G8:G18)),STDEV(G8:G18),"-")</f>
        <v>246.01625962525321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153.7816634062722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15.731073284002802</v>
      </c>
      <c r="BD21" s="599"/>
      <c r="BE21" s="599">
        <f>IF(ISNUMBER(STDEV(BE8:BE18)),STDEV(BE8:BE18),"-")</f>
        <v>0</v>
      </c>
      <c r="BF21" s="604">
        <f>IF(ISNUMBER(STDEV(BF8:BF18)),STDEV(BF8:BF18),"-")</f>
        <v>0</v>
      </c>
      <c r="BG21" s="914">
        <f>IF(ISNUMBER(STDEV(BG8:BG18)),STDEV(BG8:BG18),"-")</f>
        <v>0.13036201915462625</v>
      </c>
      <c r="BH21" s="918">
        <f>IF(ISNUMBER(STDEV(BH8:BH18)),STDEV(BH8:BH18),"-")</f>
        <v>2.3190941439801125</v>
      </c>
      <c r="BI21" s="253">
        <f>IF(ISNUMBER(STDEV(BI8:BI18)),STDEV(BI8:BI18),"-")</f>
        <v>8.4106755779548389E-2</v>
      </c>
      <c r="BJ21" s="234" t="str">
        <f>IF(ISNUMBER(BL21/BM21),BL21/BM21," - ")</f>
        <v xml:space="preserve"> - </v>
      </c>
      <c r="BK21" s="626"/>
      <c r="BL21" s="607">
        <f>IF(ISNUMBER(STDEV(BL8:BL18)),STDEV(BL8:BL18),"-")</f>
        <v>0.11350028590474216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wAbaYkephScJa7aNAAyzfHVlnobe47vF9r8g+cJoZCJIHzw1dM5qPyjuSmyn3Pmnq9ilAtWFWINCB+2xxduwA==" saltValue="4dPTy9HqQYJWIarnVxn2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TREMP</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4</v>
      </c>
      <c r="AA10" s="505">
        <f>IF(ISNUMBER(Datos!L10),Datos!L10,"-")</f>
        <v>11</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3.6666666666666661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-0.16666666666666666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v>
      </c>
      <c r="AA12" s="505" t="str">
        <f>IF(ISNUMBER(IF(J_V="SI",Datos!L12,Datos!L12+Datos!AB12)-IF(Monitorios="SI",Datos!CD12,0)),
                          IF(J_V="SI",Datos!L12,Datos!L12+Datos!AB12)-IF(Monitorios="SI",Datos!CD12,0),
                          " - ")</f>
        <v xml:space="preserve"> - </v>
      </c>
      <c r="AB12" s="503"/>
      <c r="AC12" s="503"/>
      <c r="AD12" s="516"/>
      <c r="AE12" s="516">
        <f>IF(ISNUMBER(Datos!R12),Datos!R12," - ")</f>
        <v>864</v>
      </c>
      <c r="AF12" s="619" t="str">
        <f>IF(ISNUMBER(Datos!BV12),Datos!BV12," - ")</f>
        <v xml:space="preserve"> - </v>
      </c>
      <c r="AG12" s="506" t="str">
        <f>IF(ISNUMBER(Datos!DV12),Datos!DV12," - ")</f>
        <v xml:space="preserve"> - </v>
      </c>
      <c r="AH12" s="507"/>
      <c r="AI12" s="508"/>
      <c r="AJ12" s="506">
        <f>IF(ISNUMBER(Datos!M12),Datos!M12," - ")</f>
        <v>30</v>
      </c>
      <c r="AK12" s="619">
        <f>IF(ISNUMBER(Datos!N12),Datos!N12," - ")</f>
        <v>109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7.8672566371681407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2.2485207100591716E-2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28</v>
      </c>
      <c r="AA13" s="1046">
        <f t="shared" si="2"/>
        <v>11</v>
      </c>
      <c r="AB13" s="1046">
        <f t="shared" si="2"/>
        <v>0</v>
      </c>
      <c r="AC13" s="1046">
        <f t="shared" si="2"/>
        <v>0</v>
      </c>
      <c r="AD13" s="1046">
        <f t="shared" si="2"/>
        <v>0</v>
      </c>
      <c r="AE13" s="1046">
        <f t="shared" si="2"/>
        <v>879</v>
      </c>
      <c r="AF13" s="1054">
        <f t="shared" si="2"/>
        <v>0</v>
      </c>
      <c r="AG13" s="1054">
        <f t="shared" si="2"/>
        <v>0</v>
      </c>
      <c r="AH13" s="1054">
        <f t="shared" si="2"/>
        <v>0</v>
      </c>
      <c r="AI13" s="1054">
        <f t="shared" si="2"/>
        <v>0</v>
      </c>
      <c r="AJ13" s="1054">
        <f t="shared" si="2"/>
        <v>33</v>
      </c>
      <c r="AK13" s="1054">
        <f t="shared" si="2"/>
        <v>113</v>
      </c>
      <c r="AL13" s="1054">
        <f t="shared" si="2"/>
        <v>0</v>
      </c>
      <c r="AM13" s="1054">
        <f t="shared" si="2"/>
        <v>0</v>
      </c>
      <c r="AN13" s="1054">
        <f t="shared" si="2"/>
        <v>0</v>
      </c>
      <c r="AO13" s="1050">
        <f>IF(ISNUMBER(((NºAsuntos!I13/NºAsuntos!G13)*11)/factor_trimestre),((NºAsuntos!I13/NºAsuntos!G13)*11)/factor_trimestre," - ")</f>
        <v>7.7586206896551735</v>
      </c>
      <c r="AP13" s="1056" t="str">
        <f>IF(ISNUMBER(Datos!CI13/Datos!CJ13),Datos!CI13/Datos!CJ13," - ")</f>
        <v xml:space="preserve"> - </v>
      </c>
      <c r="AQ13" s="1074">
        <f t="shared" ref="AQ13:AV13" si="3">SUBTOTAL(9,AQ9:AQ12)</f>
        <v>0</v>
      </c>
      <c r="AR13" s="1074">
        <f t="shared" si="3"/>
        <v>-0.14418145956607495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445</v>
      </c>
      <c r="G16" s="506">
        <f>IF(ISNUMBER(IF(D_I="SI",Datos!I16,Datos!I16+Datos!AC16)),IF(D_I="SI",Datos!I16,Datos!I16+Datos!AC16)," - ")</f>
        <v>445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278</v>
      </c>
      <c r="Z16" s="703">
        <f>IF(ISNUMBER(Datos!Q16),Datos!Q16," - ")</f>
        <v>3</v>
      </c>
      <c r="AA16" s="505">
        <f>IF(ISNUMBER(IF(D_I="SI",Datos!L16,Datos!L16+Datos!AF16)),IF(D_I="SI",Datos!L16,Datos!L16+Datos!AF16)," - ")</f>
        <v>491</v>
      </c>
      <c r="AB16" s="503"/>
      <c r="AC16" s="503"/>
      <c r="AD16" s="516"/>
      <c r="AE16" s="516">
        <f>IF(ISNUMBER(Datos!R16),Datos!R16," - ")</f>
        <v>55</v>
      </c>
      <c r="AF16" s="619" t="str">
        <f>IF(ISNUMBER(Datos!BV16),Datos!BV16," - ")</f>
        <v xml:space="preserve"> - </v>
      </c>
      <c r="AG16" s="506"/>
      <c r="AH16" s="507"/>
      <c r="AI16" s="508"/>
      <c r="AJ16" s="506">
        <f>IF(ISNUMBER(Datos!M16),Datos!M16," - ")</f>
        <v>34</v>
      </c>
      <c r="AK16" s="619">
        <f>IF(ISNUMBER(Datos!N16),Datos!N16," - ")</f>
        <v>196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3.5323741007194243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43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6</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445</v>
      </c>
      <c r="G18" s="1044">
        <f>SUBTOTAL(9,G15:G17)</f>
        <v>488</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310</v>
      </c>
      <c r="Z18" s="1078">
        <f t="shared" si="5"/>
        <v>3</v>
      </c>
      <c r="AA18" s="1078">
        <f t="shared" si="5"/>
        <v>534</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40</v>
      </c>
      <c r="AK18" s="1078">
        <f t="shared" si="5"/>
        <v>211</v>
      </c>
      <c r="AL18" s="1078">
        <f t="shared" si="5"/>
        <v>0</v>
      </c>
      <c r="AM18" s="1078">
        <f t="shared" si="5"/>
        <v>0</v>
      </c>
      <c r="AN18" s="1078">
        <f t="shared" si="5"/>
        <v>0</v>
      </c>
      <c r="AO18" s="1080">
        <f>IF(ISNUMBER(((NºAsuntos!I18/NºAsuntos!G18)*11)/factor_trimestre),((NºAsuntos!I18/NºAsuntos!G18)*11)/factor_trimestre," - ")</f>
        <v>3.4451612903225808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452</v>
      </c>
      <c r="G19" s="966">
        <f t="shared" si="7"/>
        <v>495</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316</v>
      </c>
      <c r="Z19" s="973">
        <f t="shared" si="8"/>
        <v>31</v>
      </c>
      <c r="AA19" s="974">
        <f t="shared" si="8"/>
        <v>545</v>
      </c>
      <c r="AB19" s="974">
        <f t="shared" si="8"/>
        <v>0</v>
      </c>
      <c r="AC19" s="974">
        <f t="shared" si="8"/>
        <v>0</v>
      </c>
      <c r="AD19" s="975">
        <f t="shared" si="8"/>
        <v>0</v>
      </c>
      <c r="AE19" s="975">
        <f t="shared" si="8"/>
        <v>936</v>
      </c>
      <c r="AF19" s="976">
        <f t="shared" si="8"/>
        <v>0</v>
      </c>
      <c r="AG19" s="977">
        <f t="shared" si="8"/>
        <v>0</v>
      </c>
      <c r="AH19" s="978">
        <f t="shared" si="8"/>
        <v>0</v>
      </c>
      <c r="AI19" s="976">
        <f t="shared" si="8"/>
        <v>0</v>
      </c>
      <c r="AJ19" s="966">
        <f t="shared" si="8"/>
        <v>73</v>
      </c>
      <c r="AK19" s="966">
        <f t="shared" si="8"/>
        <v>324</v>
      </c>
      <c r="AL19" s="966">
        <f t="shared" si="8"/>
        <v>0</v>
      </c>
      <c r="AM19" s="979">
        <f t="shared" si="8"/>
        <v>0</v>
      </c>
      <c r="AN19" s="969">
        <f>IF(ISNUMBER(Datos!K19/Datos!J19),Datos!K19/Datos!J19," - ")</f>
        <v>0.86429725363489496</v>
      </c>
      <c r="AO19" s="969">
        <f>IF(ISNUMBER(FIND("06",Criterios!A8,1)),(IF(ISNUMBER(((Datos!R19/Datos!Q19)*11)/factor_trimestre),((Datos!R19/Datos!Q19)*11)/factor_trimestre," - ")),(IF(ISNUMBER(((Datos!L19/Datos!K19)*11)/factor_trimestre),((Datos!L19/Datos!K19)*11)/factor_trimestre," - ")))</f>
        <v>5.226168224299065</v>
      </c>
      <c r="AP19" s="980" t="str">
        <f>IF(ISNUMBER(Datos!CI19/Datos!CJ19),Datos!CI19/Datos!CJ19," - ")</f>
        <v xml:space="preserve"> - </v>
      </c>
      <c r="AQ19" s="980">
        <f>IF(OR(ISNUMBER(FIND("01",Criterios!A8,1)),ISNUMBER(FIND("02",Criterios!A8,1)),ISNUMBER(FIND("03",Criterios!A8,1)),ISNUMBER(FIND("04",Criterios!A8,1))),(J19-Y19+K19)/(F19-K19),(I19-Y19+K19)/(F19-K19))</f>
        <v>-0.69911504424778759</v>
      </c>
      <c r="AR19" s="980">
        <f>IF(ISNUMBER((Datos!P19-Datos!Q19+O19)/(Datos!R19-Datos!P19+Datos!Q19-O19)),(Datos!P19-Datos!Q19+O19)/(Datos!R19-Datos!P19+Datos!Q19-O19)," - ")</f>
        <v>2.6315789473684209E-2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252.87941790505607</v>
      </c>
      <c r="G21" s="600">
        <f>IF(ISNUMBER(STDEV(G8:G18)),STDEV(G8:G18),"-")</f>
        <v>246.01625962525321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15.731073284002802</v>
      </c>
      <c r="AK21" s="256"/>
      <c r="AL21" s="256">
        <f>IF(ISNUMBER(STDEV(AL8:AL18)),STDEV(AL8:AL18),"-")</f>
        <v>0</v>
      </c>
      <c r="AM21" s="258">
        <f>IF(ISNUMBER(STDEV(AM8:AM18)),STDEV(AM8:AM18),"-")</f>
        <v>0</v>
      </c>
      <c r="AN21" s="586">
        <f>IF(ISNUMBER(STDEV(AN8:AN18)),STDEV(AN8:AN18),"-")</f>
        <v>0</v>
      </c>
      <c r="AO21" s="587">
        <f>IF(ISNUMBER(STDEV(AO8:AO18)),STDEV(AO8:AO18),"-")</f>
        <v>2.338671638515383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6PfqDQEIMdzdM6B8/uCqjCCFPxj6u5PmXCZUGMbC/KdJUhK1u3tyxA/ENgDlphS6aAwmCsKQ0CYyBse+uyBFA==" saltValue="BTwg/DaGbI4m74MugNOo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QLKn/7MMLbJF8rce5p4XjzuyLEaEWBcDY9YYEV9NXmiQH3oDm+fDsseZZ0CBjvBM5Y20dg4ItkuV5IQYHCEcQ==" saltValue="DU5b0b18ebT/rH8UHbUm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UQcyUtDPCQjJdpApuaFkE6uh/jOy+1bmSd8YISPIjnXTX6Ns7BqSG+vTbk6iYXQ+Iu3ZPL+Qp4FYo7bN1dtNA==" saltValue="Jnfzx5QqiZRtH1khc9HE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TREMP</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0.14224137931034483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0.10057984387567272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r9nR1ogA91n9cQoTHxkSJKs5vXut/424vMRtjELDAW5ehqb97iLXUzkLUUv12EiBEjtGBO68Wl08ODJlSq0nQ==" saltValue="btgF41xnzzml2Y9yXAbz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9H55CSXBrlhvmfV7zPjZIAhzUwQEl4KFzA05MA+vPSgYJVgzuLCa3fTD2VBEVmIml+3MTYOZnQNcaEZmb91Jg==" saltValue="bBUPKy8ZeovOBlXTwu2i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TREMP</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10</v>
      </c>
      <c r="F10" s="415">
        <f>IF(ISNUMBER(E10/B10),E10/B10," - ")</f>
        <v>10</v>
      </c>
      <c r="G10" s="414">
        <f>IF(ISNUMBER(Datos!K10),Datos!K10," - ")</f>
        <v>6</v>
      </c>
      <c r="H10" s="415">
        <f>IF(ISNUMBER(G10/B10),G10/B10," - ")</f>
        <v>6</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851</v>
      </c>
      <c r="D12" s="415">
        <f>IF(ISNUMBER(C12/Datos!BH12),C12/Datos!BH12," - ")</f>
        <v>851</v>
      </c>
      <c r="E12" s="414">
        <f>IF(ISNUMBER(IF(J_V="SI",Datos!J12,Datos!J12+Datos!Z12)),IF(J_V="SI",Datos!J12,Datos!J12+Datos!Z12)," - ")</f>
        <v>264</v>
      </c>
      <c r="F12" s="415">
        <f>IF(ISNUMBER(E12/B12),E12/B12," - ")</f>
        <v>264</v>
      </c>
      <c r="G12" s="414">
        <f>IF(ISNUMBER(IF(J_V="SI",Datos!K12,Datos!K12+Datos!AA12)),IF(J_V="SI",Datos!K12,Datos!K12+Datos!AA12)," - ")</f>
        <v>226</v>
      </c>
      <c r="H12" s="415">
        <f>IF(ISNUMBER(G12/B12),G12/B12," - ")</f>
        <v>226</v>
      </c>
      <c r="I12" s="414">
        <f>IF(ISNUMBER(IF(J_V="SI",Datos!L12,Datos!L12+Datos!AB12)),IF(J_V="SI",Datos!L12,Datos!L12+Datos!AB12)," - ")</f>
        <v>889</v>
      </c>
      <c r="J12" s="415">
        <f>IF(ISNUMBER(I12/B12),I12/B12," - ")</f>
        <v>889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858</v>
      </c>
      <c r="D13" s="996" t="str">
        <f>IF(ISNUMBER(C13/Datos!BI13),C13/Datos!BI13," - ")</f>
        <v xml:space="preserve"> - </v>
      </c>
      <c r="E13" s="995">
        <f>SUBTOTAL(9,E8:E12)</f>
        <v>274</v>
      </c>
      <c r="F13" s="996">
        <f>IF(ISNUMBER(E13/B13),E13/B13," - ")</f>
        <v>274</v>
      </c>
      <c r="G13" s="995">
        <f>SUBTOTAL(9,G8:G12)</f>
        <v>232</v>
      </c>
      <c r="H13" s="996">
        <f>IF(ISNUMBER(G13/B13),G13/B13," - ")</f>
        <v>232</v>
      </c>
      <c r="I13" s="995">
        <f>SUBTOTAL(9,I8:I12)</f>
        <v>900</v>
      </c>
      <c r="J13" s="996">
        <f>IF(ISNUMBER(I13/B13),I13/B13," - ")</f>
        <v>900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445</v>
      </c>
      <c r="D16" s="415">
        <f>IF(ISNUMBER(C16/Datos!BH16),C16/Datos!BH16," - ")</f>
        <v>445</v>
      </c>
      <c r="E16" s="414">
        <f>IF(ISNUMBER(IF(D_I="SI",Datos!J16,Datos!J16+Datos!AD16)),IF(D_I="SI",Datos!J16,Datos!J16+Datos!AD16)," - ")</f>
        <v>324</v>
      </c>
      <c r="F16" s="415">
        <f>IF(ISNUMBER(E16/B16),E16/B16," - ")</f>
        <v>324</v>
      </c>
      <c r="G16" s="414">
        <f>IF(ISNUMBER(IF(D_I="SI",Datos!K16,Datos!K16+Datos!AE16)),IF(D_I="SI",Datos!K16,Datos!K16+Datos!AE16)," - ")</f>
        <v>278</v>
      </c>
      <c r="H16" s="415">
        <f>IF(ISNUMBER(G16/B16),G16/B16," - ")</f>
        <v>278</v>
      </c>
      <c r="I16" s="414">
        <f>IF(ISNUMBER(IF(D_I="SI",Datos!L16,Datos!L16+Datos!AF16)),IF(D_I="SI",Datos!L16,Datos!L16+Datos!AF16)," - ")</f>
        <v>491</v>
      </c>
      <c r="J16" s="415">
        <f>IF(ISNUMBER(I16/B16),I16/B16," - ")</f>
        <v>491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43</v>
      </c>
      <c r="D17" s="415">
        <f>IF(ISNUMBER(C17/Datos!BH17),C17/Datos!BH17," - ")</f>
        <v>43</v>
      </c>
      <c r="E17" s="414">
        <f>IF(ISNUMBER(IF(D_I="SI",Datos!J17,Datos!J17+Datos!AD17)),IF(D_I="SI",Datos!J17,Datos!J17+Datos!AD17)," - ")</f>
        <v>32</v>
      </c>
      <c r="F17" s="415">
        <f>IF(ISNUMBER(E17/B17),E17/B17," - ")</f>
        <v>32</v>
      </c>
      <c r="G17" s="414">
        <f>IF(ISNUMBER(IF(D_I="SI",Datos!K17,Datos!K17+Datos!AE17)),IF(D_I="SI",Datos!K17,Datos!K17+Datos!AE17)," - ")</f>
        <v>32</v>
      </c>
      <c r="H17" s="415">
        <f>IF(ISNUMBER(G17/B17),G17/B17," - ")</f>
        <v>32</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488</v>
      </c>
      <c r="D18" s="996" t="str">
        <f>IF(ISNUMBER(C18/Datos!BI18),C18/Datos!BI18," - ")</f>
        <v xml:space="preserve"> - </v>
      </c>
      <c r="E18" s="995">
        <f>SUBTOTAL(9,E14:E17)</f>
        <v>356</v>
      </c>
      <c r="F18" s="996">
        <f>IF(ISNUMBER(E18/B18),E18/B18," - ")</f>
        <v>356</v>
      </c>
      <c r="G18" s="995">
        <f>SUBTOTAL(9,G14:G17)</f>
        <v>310</v>
      </c>
      <c r="H18" s="996">
        <f>IF(ISNUMBER(G18/B18),G18/B18," - ")</f>
        <v>310</v>
      </c>
      <c r="I18" s="995">
        <f>SUBTOTAL(9,I14:I17)</f>
        <v>534</v>
      </c>
      <c r="J18" s="996">
        <f>IF(ISNUMBER(I18/B18),I18/B18," - ")</f>
        <v>534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1346</v>
      </c>
      <c r="D19" s="941" t="str">
        <f>IF(ISNUMBER(C19/Datos!BI19),C19/Datos!BI19," - ")</f>
        <v xml:space="preserve"> - </v>
      </c>
      <c r="E19" s="940">
        <f>SUBTOTAL(9,E9:E18)</f>
        <v>630</v>
      </c>
      <c r="F19" s="941">
        <f>IF(ISNUMBER(E19/B19),E19/B19," - ")</f>
        <v>630</v>
      </c>
      <c r="G19" s="940">
        <f>SUBTOTAL(9,G9:G18)</f>
        <v>542</v>
      </c>
      <c r="H19" s="941">
        <f>IF(ISNUMBER(G19/B19),G19/B19," - ")</f>
        <v>542</v>
      </c>
      <c r="I19" s="940">
        <f>SUBTOTAL(9,I9:I18)</f>
        <v>1434</v>
      </c>
      <c r="J19" s="941">
        <f>IF(ISNUMBER(I19/B19),I19/B19," - ")</f>
        <v>1434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iGpqXp9d3Oaw3l/B3q28dfGkXJGmxeK4JRw/pwgA2K1HcGU5Ldxc4VVCBuYih/Oe75TMB+v+aXw/AObx+wmvQ==" saltValue="NGcQssANmc1sxwvhWspg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TREMP</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3.6666666666666661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109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7.8672566371681407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2.2485207100591716E-2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24</v>
      </c>
      <c r="AE13" s="1085">
        <f t="shared" si="1"/>
        <v>0</v>
      </c>
      <c r="AF13" s="1085">
        <f t="shared" si="1"/>
        <v>11</v>
      </c>
      <c r="AG13" s="1085">
        <f t="shared" si="1"/>
        <v>0</v>
      </c>
      <c r="AH13" s="1085">
        <f t="shared" si="1"/>
        <v>864</v>
      </c>
      <c r="AI13" s="1085">
        <f t="shared" si="1"/>
        <v>0</v>
      </c>
      <c r="AJ13" s="1085">
        <f t="shared" si="1"/>
        <v>0</v>
      </c>
      <c r="AK13" s="1085">
        <f t="shared" si="1"/>
        <v>0</v>
      </c>
      <c r="AL13" s="1085">
        <f t="shared" si="1"/>
        <v>33</v>
      </c>
      <c r="AM13" s="1085">
        <f t="shared" si="1"/>
        <v>113</v>
      </c>
      <c r="AN13" s="1085">
        <f t="shared" si="1"/>
        <v>0</v>
      </c>
      <c r="AO13" s="1085">
        <f t="shared" si="1"/>
        <v>0</v>
      </c>
      <c r="AP13" s="1090">
        <f>IF(ISNUMBER(((Datos!L13/Datos!K13)*11)/factor_trimestre),((Datos!L13/Datos!K13)*11)/factor_trimestre," - ")</f>
        <v>7.6799999999999988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-0.8571428571428571</v>
      </c>
      <c r="AU13" s="1085" t="str">
        <f>IF(ISNUMBER((DatosP!#REF!-DatosP!#REF!+DatosP!#REF!)/(DatosP!#REF!+DatosP!#REF!-DatosP!#REF!-DatosP!#REF!)),(DatosP!#REF!-DatosP!#REF!+DatosP!#REF!)/(DatosP!#REF!+DatosP!#REF!-DatosP!#REF!-DatosP!#REF!)," - ")</f>
        <v xml:space="preserve"> - </v>
      </c>
      <c r="AV13" s="1091">
        <f>SUBTOTAL(9,AV9:AV12)</f>
        <v>2.2485207100591716E-2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3.4451612903225808</v>
      </c>
      <c r="AQ18" s="1090">
        <f>IF(ISNUMBER(((Datos!M18/Datos!L18)*11)/factor_trimestre),((Datos!M18/Datos!L18)*11)/factor_trimestre," - ")</f>
        <v>0.14981273408239701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0.16326530612244897</v>
      </c>
      <c r="AW18" s="1092">
        <f>IF(ISNUMBER((Datos!Q18-Datos!R18)/(Datos!S18-Datos!Q18+Datos!R18)),(Datos!Q18-Datos!R18)/(Datos!S18-Datos!Q18+Datos!R18)," - ")</f>
        <v>-0.12244897959183673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24</v>
      </c>
      <c r="AE19" s="1103">
        <f t="shared" si="5"/>
        <v>0</v>
      </c>
      <c r="AF19" s="1104">
        <f t="shared" si="5"/>
        <v>11</v>
      </c>
      <c r="AG19" s="1104">
        <f t="shared" si="5"/>
        <v>0</v>
      </c>
      <c r="AH19" s="1104">
        <f t="shared" si="5"/>
        <v>864</v>
      </c>
      <c r="AI19" s="1104">
        <f t="shared" si="5"/>
        <v>0</v>
      </c>
      <c r="AJ19" s="1105">
        <f t="shared" si="5"/>
        <v>0</v>
      </c>
      <c r="AK19" s="1105">
        <f t="shared" si="5"/>
        <v>0</v>
      </c>
      <c r="AL19" s="1097">
        <f t="shared" si="5"/>
        <v>33</v>
      </c>
      <c r="AM19" s="1097">
        <f t="shared" si="5"/>
        <v>113</v>
      </c>
      <c r="AN19" s="1097">
        <f t="shared" si="5"/>
        <v>0</v>
      </c>
      <c r="AO19" s="1097">
        <f t="shared" si="5"/>
        <v>0</v>
      </c>
      <c r="AP19" s="1097">
        <f>IF(ISNUMBER(((Datos!L19/Datos!K19)*11)/factor_trimestre),((Datos!L19/Datos!K19)*11)/factor_trimestre," - ")</f>
        <v>5.226168224299065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-0.8571428571428571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2.6315789473684209E-2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17.406895185529212</v>
      </c>
      <c r="AM21" s="869"/>
      <c r="AN21" s="869">
        <f>IF(ISNUMBER(STDEV(AN8:AN18)),STDEV(AN8:AN18),"-")</f>
        <v>0</v>
      </c>
      <c r="AO21" s="875">
        <f>IF(ISNUMBER(STDEV(AO8:AO18)),STDEV(AO8:AO18),"-")</f>
        <v>0</v>
      </c>
      <c r="AP21" s="922">
        <f>IF(ISNUMBER(STDEV(AP8:AP18)),STDEV(AP8:AP18),"-")</f>
        <v>2.4379758745424156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W9HGk32MnjCM2mJD6H1jtv1CqMK/72uKlm09tdM3G7Cw8ZzQEqYK6jAEeRRf0LsLlriB4MuhT/f9hrQO9S9HA==" saltValue="YXJ6ST8o6pVEYe26Wa76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TREMP</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iwuDvaXRj2apjOA/LHD1tBEkrj2SIol6UxzRYWhIsYuPDtxe9glebrjF9sXCLEvoN+FPAQlVVpyRyM6qLAkrw==" saltValue="L0eTw+shdihmOyi5pqVn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TREMP</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109</v>
      </c>
      <c r="G12" s="415">
        <f t="shared" si="1"/>
        <v>109</v>
      </c>
      <c r="H12" s="414">
        <f>IF(ISNUMBER(Datos!O12),Datos!O12," - ")</f>
        <v>85</v>
      </c>
      <c r="I12" s="415">
        <f t="shared" si="2"/>
        <v>85</v>
      </c>
    </row>
    <row r="13" spans="1:9" ht="14.25" thickTop="1" thickBot="1">
      <c r="A13" s="994" t="str">
        <f>Datos!A13</f>
        <v>TOTAL</v>
      </c>
      <c r="B13" s="995">
        <f>Datos!AO13</f>
        <v>2</v>
      </c>
      <c r="C13" s="997">
        <f>Datos!AR13</f>
        <v>1</v>
      </c>
      <c r="D13" s="995">
        <f>SUBTOTAL(9,D9:D12)</f>
        <v>33</v>
      </c>
      <c r="E13" s="996">
        <f t="shared" si="0"/>
        <v>16.5</v>
      </c>
      <c r="F13" s="995">
        <f>SUBTOTAL(9,F9:F12)</f>
        <v>113</v>
      </c>
      <c r="G13" s="996">
        <f t="shared" si="1"/>
        <v>56.5</v>
      </c>
      <c r="H13" s="995">
        <f>SUBTOTAL(9,H9:H12)</f>
        <v>85</v>
      </c>
      <c r="I13" s="996">
        <f>IF(ISNUMBER(H13/B13),H13/B13," - ")</f>
        <v>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34</v>
      </c>
      <c r="E16" s="415">
        <f t="shared" si="3"/>
        <v>34</v>
      </c>
      <c r="F16" s="414">
        <f>IF(ISNUMBER(Datos!N16),Datos!N16," - ")</f>
        <v>196</v>
      </c>
      <c r="G16" s="415">
        <f t="shared" si="4"/>
        <v>196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2</v>
      </c>
      <c r="C18" s="997">
        <f>Datos!AR18</f>
        <v>1</v>
      </c>
      <c r="D18" s="995">
        <f>SUBTOTAL(9,D15:D17)</f>
        <v>40</v>
      </c>
      <c r="E18" s="996">
        <f t="shared" si="3"/>
        <v>20</v>
      </c>
      <c r="F18" s="995">
        <f>SUBTOTAL(9,F15:F17)</f>
        <v>211</v>
      </c>
      <c r="G18" s="996">
        <f t="shared" si="4"/>
        <v>105.5</v>
      </c>
      <c r="H18" s="995">
        <f>SUBTOTAL(9,H15:H17)</f>
        <v>0</v>
      </c>
      <c r="I18" s="996">
        <f>IF(ISNUMBER(H18/B18),H18/B18," - ")</f>
        <v>0</v>
      </c>
    </row>
    <row r="19" spans="1:9" ht="14.25" thickTop="1" thickBot="1">
      <c r="A19" s="939" t="str">
        <f>Datos!A19</f>
        <v>TOTAL JURISDICCIONES</v>
      </c>
      <c r="B19" s="940">
        <f>Datos!AP19</f>
        <v>1</v>
      </c>
      <c r="C19" s="940">
        <f>Datos!AR19</f>
        <v>1</v>
      </c>
      <c r="D19" s="940">
        <f>SUBTOTAL(9,D8:D18)</f>
        <v>73</v>
      </c>
      <c r="E19" s="941">
        <f>IF(ISNUMBER(D19/B19),D19/B19," - ")</f>
        <v>73</v>
      </c>
      <c r="F19" s="940">
        <f>SUBTOTAL(9,F8:F18)</f>
        <v>324</v>
      </c>
      <c r="G19" s="941">
        <f>IF(ISNUMBER(F19/B19),F19/B19," - ")</f>
        <v>324</v>
      </c>
      <c r="H19" s="940">
        <f>SUBTOTAL(9,H8:H18)</f>
        <v>85</v>
      </c>
      <c r="I19" s="941">
        <f>IF(ISNUMBER(H19/B19),H19/B19," - ")</f>
        <v>85</v>
      </c>
    </row>
    <row r="22" spans="1:9">
      <c r="A22" s="402" t="str">
        <f>Criterios!A4</f>
        <v>Fecha Informe: 29 nov. 2023</v>
      </c>
    </row>
    <row r="27" spans="1:9">
      <c r="A27" s="425"/>
    </row>
  </sheetData>
  <sheetProtection algorithmName="SHA-512" hashValue="9u2Lon8rZQZ3Yn+C/9uh97pkLdnXHy4xEOpg826J3seHpUKV4S4lgrAMKRJ1rAeDS8J0a7ZTvXVvS7ePyYYP3g==" saltValue="cpVGL9CEeiftFSIyVrNh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TREMP</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4</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24</v>
      </c>
      <c r="D12" s="419">
        <f>IF(ISNUMBER(Datos!R12),Datos!R12," - ")</f>
        <v>864</v>
      </c>
    </row>
    <row r="13" spans="1:4" ht="14.25" thickTop="1" thickBot="1">
      <c r="A13" s="994" t="str">
        <f>Datos!A13</f>
        <v>TOTAL</v>
      </c>
      <c r="B13" s="995">
        <f>SUBTOTAL(9,B9:B12)</f>
        <v>44</v>
      </c>
      <c r="C13" s="999">
        <f>SUBTOTAL(9,C9:C12)</f>
        <v>28</v>
      </c>
      <c r="D13" s="997">
        <f>SUBTOTAL(9,D9:D12)</f>
        <v>879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3</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11</v>
      </c>
      <c r="C18" s="999">
        <f>SUBTOTAL(9,C15:C17)</f>
        <v>3</v>
      </c>
      <c r="D18" s="997">
        <f>SUBTOTAL(9,D15:D17)</f>
        <v>57</v>
      </c>
    </row>
    <row r="19" spans="1:4" ht="16.5" customHeight="1" thickTop="1" thickBot="1">
      <c r="A19" s="939" t="str">
        <f>Datos!A19</f>
        <v>TOTAL JURISDICCIONES</v>
      </c>
      <c r="B19" s="944">
        <f>SUBTOTAL(9,B8:B18)</f>
        <v>55</v>
      </c>
      <c r="C19" s="945">
        <f>SUBTOTAL(9,C8:C18)</f>
        <v>31</v>
      </c>
      <c r="D19" s="946">
        <f>SUBTOTAL(9,D8:D18)</f>
        <v>936</v>
      </c>
    </row>
    <row r="20" spans="1:4" ht="7.5" customHeight="1"/>
    <row r="21" spans="1:4" ht="6" customHeight="1"/>
    <row r="22" spans="1:4">
      <c r="A22" s="402" t="str">
        <f>Criterios!A4</f>
        <v>Fecha Informe: 29 nov. 2023</v>
      </c>
    </row>
    <row r="27" spans="1:4">
      <c r="A27" s="425"/>
    </row>
  </sheetData>
  <sheetProtection algorithmName="SHA-512" hashValue="7jvnEv7LD6LDCMNAbdNZgKs+ZwKi5fxuEM2KeDU+6rA/4NOwfBBoHUlmgemPM54eolee3IHBkeh57DqOo2o02A==" saltValue="NpwKj/m+m2LelQr0znXP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TREMP</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1.3333333333333333</v>
      </c>
      <c r="C10" s="472">
        <f>IF(ISNUMBER((Datos!J10-Datos!T10)/Datos!T10),(Datos!J10-Datos!T10)/Datos!T10," - ")</f>
        <v>2.3333333333333335</v>
      </c>
      <c r="D10" s="472">
        <f>IF(ISNUMBER((Datos!K10-Datos!U10)/Datos!U10),(Datos!K10-Datos!U10)/Datos!U10," - ")</f>
        <v>1</v>
      </c>
      <c r="E10" s="472">
        <f>IF(ISNUMBER((Datos!L10-Datos!V10)/Datos!V10),(Datos!L10-Datos!V10)/Datos!V10," - ")</f>
        <v>2.6666666666666665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-0.4</v>
      </c>
      <c r="I10" s="472">
        <f>IF(ISNUMBER(((NºAsuntos!I10/NºAsuntos!G10)-Datos!BE10)/Datos!BE10),((NºAsuntos!I10/NºAsuntos!G10)-Datos!BE10)/Datos!BE10," - ")</f>
        <v>0.83333333333333326</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0.41666666666666674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0.46219931271477666</v>
      </c>
      <c r="C12" s="472">
        <f>IF(ISNUMBER(
   IF(J_V="SI",(Datos!J12-Datos!T12)/Datos!T12,(Datos!J12+Datos!Z12-(Datos!T12+Datos!AH12))/(Datos!T12+Datos!AH12))
     ),IF(J_V="SI",(Datos!J12-Datos!T12)/Datos!T12,(Datos!J12+Datos!Z12-(Datos!T12+Datos!AH12))/(Datos!T12+Datos!AH12))," - ")</f>
        <v>0.41935483870967744</v>
      </c>
      <c r="D12" s="472">
        <f>IF(ISNUMBER(
   IF(J_V="SI",(Datos!K12-Datos!U12)/Datos!U12,(Datos!K12+Datos!AA12-(Datos!U12+Datos!AI12))/(Datos!U12+Datos!AI12))
     ),IF(J_V="SI",(Datos!K12-Datos!U12)/Datos!U12,(Datos!K12+Datos!AA12-(Datos!U12+Datos!AI12))/(Datos!U12+Datos!AI12))," - ")</f>
        <v>0.5374149659863946</v>
      </c>
      <c r="E12" s="472">
        <f>IF(ISNUMBER(
   IF(J_V="SI",(Datos!L12-Datos!V12)/Datos!V12,(Datos!L12+Datos!AB12-(Datos!V12+Datos!AJ12))/(Datos!V12+Datos!AJ12))
     ),IF(J_V="SI",(Datos!L12-Datos!V12)/Datos!V12,(Datos!L12+Datos!AB12-(Datos!V12+Datos!AJ12))/(Datos!V12+Datos!AJ12))," - ")</f>
        <v>0.43156199677938806</v>
      </c>
      <c r="F12" s="472">
        <f>IF(ISNUMBER((Datos!M12-Datos!W12)/Datos!W12),(Datos!M12-Datos!W12)/Datos!W12," - ")</f>
        <v>-0.21052631578947367</v>
      </c>
      <c r="G12" s="473">
        <f>IF(ISNUMBER((Datos!N12-Datos!X12)/Datos!X12),(Datos!N12-Datos!X12)/Datos!X12," - ")</f>
        <v>1.0566037735849056</v>
      </c>
      <c r="H12" s="471">
        <f>IF(ISNUMBER(((NºAsuntos!G12/NºAsuntos!E12)-Datos!BD12)/Datos!BD12),((NºAsuntos!G12/NºAsuntos!E12)-Datos!BD12)/Datos!BD12," - ")</f>
        <v>8.3178726035868969E-2</v>
      </c>
      <c r="I12" s="472">
        <f>IF(ISNUMBER(((NºAsuntos!I12/NºAsuntos!G12)-Datos!BE12)/Datos!BE12),((NºAsuntos!I12/NºAsuntos!G12)-Datos!BE12)/Datos!BE12," - ")</f>
        <v>-6.8851267581548359E-2</v>
      </c>
      <c r="J12" s="477">
        <f>IF(ISNUMBER((('Resol  Asuntos'!D12/NºAsuntos!G12)-Datos!BF12)/Datos!BF12),(('Resol  Asuntos'!D12/NºAsuntos!G12)-Datos!BF12)/Datos!BF12," - ")</f>
        <v>-0.63182501252295875</v>
      </c>
      <c r="K12" s="478">
        <f>IF(ISNUMBER((((NºAsuntos!C12+NºAsuntos!E12)/NºAsuntos!G12)-Datos!BG12)/Datos!BG12),(((NºAsuntos!C12+NºAsuntos!E12)/NºAsuntos!G12)-Datos!BG12)/Datos!BG12," - ")</f>
        <v>-5.5672704646017625E-2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0.46666666666666667</v>
      </c>
      <c r="C13" s="1001">
        <f>IF(ISNUMBER(
   IF(J_V="SI",(Datos!J13-Datos!T13)/Datos!T13,(Datos!J13+Datos!Z13-(Datos!T13+Datos!AH13))/(Datos!T13+Datos!AH13))
     ),IF(J_V="SI",(Datos!J13-Datos!T13)/Datos!T13,(Datos!J13+Datos!Z13-(Datos!T13+Datos!AH13))/(Datos!T13+Datos!AH13))," - ")</f>
        <v>0.44973544973544971</v>
      </c>
      <c r="D13" s="1001">
        <f>IF(ISNUMBER(
   IF(J_V="SI",(Datos!K13-Datos!U13)/Datos!U13,(Datos!K13+Datos!AA13-(Datos!U13+Datos!AI13))/(Datos!U13+Datos!AI13))
     ),IF(J_V="SI",(Datos!K13-Datos!U13)/Datos!U13,(Datos!K13+Datos!AA13-(Datos!U13+Datos!AI13))/(Datos!U13+Datos!AI13))," - ")</f>
        <v>0.54666666666666663</v>
      </c>
      <c r="E13" s="1001">
        <f>IF(ISNUMBER(
   IF(J_V="SI",(Datos!L13-Datos!V13)/Datos!V13,(Datos!L13+Datos!AB13-(Datos!V13+Datos!AJ13))/(Datos!V13+Datos!AJ13))
     ),IF(J_V="SI",(Datos!L13-Datos!V13)/Datos!V13,(Datos!L13+Datos!AB13-(Datos!V13+Datos!AJ13))/(Datos!V13+Datos!AJ13))," - ")</f>
        <v>0.44230769230769229</v>
      </c>
      <c r="F13" s="1002">
        <f>IF(ISNUMBER((Datos!M13-Datos!W13)/Datos!W13),(Datos!M13-Datos!W13)/Datos!W13," - ")</f>
        <v>-0.13157894736842105</v>
      </c>
      <c r="G13" s="1003">
        <f>IF(ISNUMBER((Datos!N13-Datos!X13)/Datos!X13),(Datos!N13-Datos!X13)/Datos!X13," - ")</f>
        <v>1.1320754716981132</v>
      </c>
      <c r="H13" s="1003">
        <f>IF(ISNUMBER(((NºAsuntos!G13/NºAsuntos!E13)-Datos!BD13)/Datos!BD13),((NºAsuntos!G13/NºAsuntos!E13)-Datos!BD13)/Datos!BD13," - ")</f>
        <v>6.6861313868613159E-2</v>
      </c>
      <c r="I13" s="1003">
        <f>IF(ISNUMBER(((NºAsuntos!I13/NºAsuntos!G13)-Datos!BE13)/Datos!BE13),((NºAsuntos!I13/NºAsuntos!G13)-Datos!BE13)/Datos!BE13," - ")</f>
        <v>-6.7473474801061015E-2</v>
      </c>
      <c r="J13" s="1003">
        <f>IF(ISNUMBER((('Resol  Asuntos'!D13/NºAsuntos!G13)-Datos!BF13)/Datos!BF13),(('Resol  Asuntos'!D13/NºAsuntos!G13)-Datos!BF13)/Datos!BF13," - ")</f>
        <v>-0.59743005855562781</v>
      </c>
      <c r="K13" s="1003">
        <f>IF(ISNUMBER((((NºAsuntos!C13+NºAsuntos!E13)/NºAsuntos!G13)-Datos!BG13)/Datos!BG13),(((NºAsuntos!C13+NºAsuntos!E13)/NºAsuntos!G13)-Datos!BG13)/Datos!BG13," - ")</f>
        <v>-5.4397219994653842E-2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0.2292817679558011</v>
      </c>
      <c r="C16" s="472">
        <f>IF(ISNUMBER(
   IF(D_I="SI",(Datos!J16-Datos!T16)/Datos!T16,(Datos!J16+Datos!AD16-(Datos!T16+Datos!AL16))/(Datos!T16+Datos!AL16))
     ),IF(D_I="SI",(Datos!J16-Datos!T16)/Datos!T16,(Datos!J16+Datos!AD16-(Datos!T16+Datos!AL16))/(Datos!T16+Datos!AL16))," - ")</f>
        <v>-0.10249307479224377</v>
      </c>
      <c r="D16" s="472">
        <f>IF(ISNUMBER(
   IF(D_I="SI",(Datos!K16-Datos!U16)/Datos!U16,(Datos!K16+Datos!AE16-(Datos!U16+Datos!AM16))/(Datos!U16+Datos!AM16))
     ),IF(D_I="SI",(Datos!K16-Datos!U16)/Datos!U16,(Datos!K16+Datos!AE16-(Datos!U16+Datos!AM16))/(Datos!U16+Datos!AM16))," - ")</f>
        <v>-0.12578616352201258</v>
      </c>
      <c r="E16" s="472">
        <f>IF(ISNUMBER(
   IF(D_I="SI",(Datos!L16-Datos!V16)/Datos!V16,(Datos!L16+Datos!AF16-(Datos!V16+Datos!AN16))/(Datos!V16+Datos!AN16))
     ),IF(D_I="SI",(Datos!L16-Datos!V16)/Datos!V16,(Datos!L16+Datos!AF16-(Datos!V16+Datos!AN16))/(Datos!V16+Datos!AN16))," - ")</f>
        <v>0.21234567901234569</v>
      </c>
      <c r="F16" s="472">
        <f>IF(ISNUMBER((Datos!M16-Datos!W16)/Datos!W16),(Datos!M16-Datos!W16)/Datos!W16," - ")</f>
        <v>0</v>
      </c>
      <c r="G16" s="473">
        <f>IF(ISNUMBER((Datos!N16-Datos!X16)/Datos!X16),(Datos!N16-Datos!X16)/Datos!X16," - ")</f>
        <v>-0.19672131147540983</v>
      </c>
      <c r="H16" s="471">
        <f>IF(ISNUMBER(((NºAsuntos!G16/NºAsuntos!E16)-Datos!BD16)/Datos!BD16),((NºAsuntos!G16/NºAsuntos!E16)-Datos!BD16)/Datos!BD16," - ")</f>
        <v>-2.5953101948909065E-2</v>
      </c>
      <c r="I16" s="472">
        <f>IF(ISNUMBER(((NºAsuntos!I16/NºAsuntos!G16)-Datos!BE16)/Datos!BE16),((NºAsuntos!I16/NºAsuntos!G16)-Datos!BE16)/Datos!BE16," - ")</f>
        <v>0.3867839062083665</v>
      </c>
      <c r="J16" s="477">
        <f>IF(ISNUMBER((('Resol  Asuntos'!D16/NºAsuntos!G16)-Datos!BF16)/Datos!BF16),(('Resol  Asuntos'!D16/NºAsuntos!G16)-Datos!BF16)/Datos!BF16," - ")</f>
        <v>0.14388489208633093</v>
      </c>
      <c r="K16" s="478">
        <f>IF(ISNUMBER((((NºAsuntos!C16+NºAsuntos!E16)/NºAsuntos!G16)-Datos!BG16)/Datos!BG16),(((NºAsuntos!C16+NºAsuntos!E16)/NºAsuntos!G16)-Datos!BG16)/Datos!BG16," - ")</f>
        <v>0.21666318397564108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0.72</v>
      </c>
      <c r="C17" s="472">
        <f>IF(ISNUMBER(
   IF(D_I="SI",(Datos!J17-Datos!T17)/Datos!T17,(Datos!J17+Datos!AD17-(Datos!T17+Datos!AL17))/(Datos!T17+Datos!AL17))
     ),IF(D_I="SI",(Datos!J17-Datos!T17)/Datos!T17,(Datos!J17+Datos!AD17-(Datos!T17+Datos!AL17))/(Datos!T17+Datos!AL17))," - ")</f>
        <v>0.18518518518518517</v>
      </c>
      <c r="D17" s="472">
        <f>IF(ISNUMBER(
   IF(D_I="SI",(Datos!K17-Datos!U17)/Datos!U17,(Datos!K17+Datos!AE17-(Datos!U17+Datos!AM17))/(Datos!U17+Datos!AM17))
     ),IF(D_I="SI",(Datos!K17-Datos!U17)/Datos!U17,(Datos!K17+Datos!AE17-(Datos!U17+Datos!AM17))/(Datos!U17+Datos!AM17))," - ")</f>
        <v>0.6</v>
      </c>
      <c r="E17" s="472">
        <f>IF(ISNUMBER(
   IF(D_I="SI",(Datos!L17-Datos!V17)/Datos!V17,(Datos!L17+Datos!AF17-(Datos!V17+Datos!AN17))/(Datos!V17+Datos!AN17))
     ),IF(D_I="SI",(Datos!L17-Datos!V17)/Datos!V17,(Datos!L17+Datos!AF17-(Datos!V17+Datos!AN17))/(Datos!V17+Datos!AN17))," - ")</f>
        <v>0.34375</v>
      </c>
      <c r="F17" s="472">
        <f>IF(ISNUMBER((Datos!M17-Datos!W17)/Datos!W17),(Datos!M17-Datos!W17)/Datos!W17," - ")</f>
        <v>0.5</v>
      </c>
      <c r="G17" s="473">
        <f>IF(ISNUMBER((Datos!N17-Datos!X17)/Datos!X17),(Datos!N17-Datos!X17)/Datos!X17," - ")</f>
        <v>0.15384615384615385</v>
      </c>
      <c r="H17" s="471">
        <f>IF(ISNUMBER(((NºAsuntos!G17/NºAsuntos!E17)-Datos!BD17)/Datos!BD17),((NºAsuntos!G17/NºAsuntos!E17)-Datos!BD17)/Datos!BD17," - ")</f>
        <v>0.35000000000000009</v>
      </c>
      <c r="I17" s="472">
        <f>IF(ISNUMBER(((NºAsuntos!I17/NºAsuntos!G17)-Datos!BE17)/Datos!BE17),((NºAsuntos!I17/NºAsuntos!G17)-Datos!BE17)/Datos!BE17," - ")</f>
        <v>-0.16015625000000006</v>
      </c>
      <c r="J17" s="477">
        <f>IF(ISNUMBER((('Resol  Asuntos'!D17/NºAsuntos!G17)-Datos!BF17)/Datos!BF17),(('Resol  Asuntos'!D17/NºAsuntos!G17)-Datos!BF17)/Datos!BF17," - ")</f>
        <v>-6.2500000000000056E-2</v>
      </c>
      <c r="K17" s="478">
        <f>IF(ISNUMBER((((NºAsuntos!C17+NºAsuntos!E17)/NºAsuntos!G17)-Datos!BG17)/Datos!BG17),(((NºAsuntos!C17+NºAsuntos!E17)/NºAsuntos!G17)-Datos!BG17)/Datos!BG17," - ")</f>
        <v>-9.8557692307692332E-2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0.26098191214470284</v>
      </c>
      <c r="C18" s="1001">
        <f>IF(ISNUMBER(
   IF(Criterios!B14="SI",(Datos!J18-Datos!T18)/Datos!T18,(Datos!J18+Datos!AD18-(Datos!T18+Datos!AL18))/(Datos!T18+Datos!AL18))
     ),IF(Criterios!B14="SI",(Datos!J18-Datos!T18)/Datos!T18,(Datos!J18+Datos!AD18-(Datos!T18+Datos!AL18))/(Datos!T18+Datos!AL18))," - ")</f>
        <v>-8.247422680412371E-2</v>
      </c>
      <c r="D18" s="1001">
        <f>IF(ISNUMBER(
   IF(Criterios!B14="SI",(Datos!K18-Datos!U18)/Datos!U18,(Datos!K18+Datos!AE18-(Datos!U18+Datos!AM18))/(Datos!U18+Datos!AM18))
     ),IF(Criterios!B14="SI",(Datos!K18-Datos!U18)/Datos!U18,(Datos!K18+Datos!AE18-(Datos!U18+Datos!AM18))/(Datos!U18+Datos!AM18))," - ")</f>
        <v>-8.2840236686390539E-2</v>
      </c>
      <c r="E18" s="1001">
        <f>IF(ISNUMBER(
   IF(Criterios!B14="SI",(Datos!L18-Datos!V18)/Datos!V18,(Datos!L18+Datos!AF18-(Datos!V18+Datos!AN18))/(Datos!V18+Datos!AN18))
     ),IF(Criterios!B14="SI",(Datos!L18-Datos!V18)/Datos!V18,(Datos!L18+Datos!AF18-(Datos!V18+Datos!AN18))/(Datos!V18+Datos!AN18))," - ")</f>
        <v>0.2219679633867277</v>
      </c>
      <c r="F18" s="1002">
        <f>IF(ISNUMBER((Datos!M18-Datos!W18)/Datos!W18),(Datos!M18-Datos!W18)/Datos!W18," - ")</f>
        <v>5.2631578947368418E-2</v>
      </c>
      <c r="G18" s="1003">
        <f>IF(ISNUMBER((Datos!N18-Datos!X18)/Datos!X18),(Datos!N18-Datos!X18)/Datos!X18," - ")</f>
        <v>-0.17898832684824903</v>
      </c>
      <c r="H18" s="1003">
        <f>IF(ISNUMBER(((NºAsuntos!G18/NºAsuntos!E18)-Datos!BD18)/Datos!BD18),((NºAsuntos!G18/NºAsuntos!E18)-Datos!BD18)/Datos!BD18," - ")</f>
        <v>-3.9890964696495814E-4</v>
      </c>
      <c r="I18" s="1003">
        <f>IF(ISNUMBER(((NºAsuntos!I18/NºAsuntos!G18)-Datos!BE18)/Datos!BE18),((NºAsuntos!I18/NºAsuntos!G18)-Datos!BE18)/Datos!BE18," - ")</f>
        <v>0.33233926330552888</v>
      </c>
      <c r="J18" s="1003">
        <f>IF(ISNUMBER((('Resol  Asuntos'!D18/NºAsuntos!G18)-Datos!BF18)/Datos!BF18),(('Resol  Asuntos'!D18/NºAsuntos!G18)-Datos!BF18)/Datos!BF18," - ")</f>
        <v>0.14770797962648549</v>
      </c>
      <c r="K18" s="1003">
        <f>IF(ISNUMBER((((NºAsuntos!C18+NºAsuntos!E18)/NºAsuntos!G18)-Datos!BG18)/Datos!BG18),(((NºAsuntos!C18+NºAsuntos!E18)/NºAsuntos!G18)-Datos!BG18)/Datos!BG18," - ")</f>
        <v>0.1873964620187305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0.38477366255144035</v>
      </c>
      <c r="C19" s="948">
        <f>IF(ISNUMBER(
   IF(J_V="SI",(Datos!J19-Datos!T19)/Datos!T19,(Datos!J19+Datos!Z19-(Datos!T19+Datos!AH19))/(Datos!T19+Datos!AH19))
     ),IF(J_V="SI",(Datos!J19-Datos!T19)/Datos!T19,(Datos!J19+Datos!Z19-(Datos!T19+Datos!AH19))/(Datos!T19+Datos!AH19))," - ")</f>
        <v>9.1854419410745236E-2</v>
      </c>
      <c r="D19" s="948">
        <f>IF(ISNUMBER(
   IF(J_V="SI",(Datos!K19-Datos!U19)/Datos!U19,(Datos!K19+Datos!AA19-(Datos!U19+Datos!AI19))/(Datos!U19+Datos!AI19))
     ),IF(J_V="SI",(Datos!K19-Datos!U19)/Datos!U19,(Datos!K19+Datos!AA19-(Datos!U19+Datos!AI19))/(Datos!U19+Datos!AI19))," - ")</f>
        <v>0.11065573770491803</v>
      </c>
      <c r="E19" s="948">
        <f>IF(ISNUMBER(
   IF(J_V="SI",(Datos!L19-Datos!V19)/Datos!V19,(Datos!L19+Datos!AB19-(Datos!V19+Datos!AJ19))/(Datos!V19+Datos!AJ19))
     ),IF(J_V="SI",(Datos!L19-Datos!V19)/Datos!V19,(Datos!L19+Datos!AB19-(Datos!V19+Datos!AJ19))/(Datos!V19+Datos!AJ19))," - ")</f>
        <v>0.351555136663525</v>
      </c>
      <c r="F19" s="949">
        <f>IF(ISNUMBER((Datos!M19-Datos!W19)/Datos!W19),(Datos!M19-Datos!W19)/Datos!W19," - ")</f>
        <v>-3.9473684210526314E-2</v>
      </c>
      <c r="G19" s="950">
        <f>IF(ISNUMBER((Datos!N19-Datos!X19)/Datos!X19),(Datos!N19-Datos!X19)/Datos!X19," - ")</f>
        <v>4.5161290322580643E-2</v>
      </c>
      <c r="H19" s="951">
        <f>IF(ISNUMBER((Tasas!B19-Datos!BD19)/Datos!BD19),(Tasas!B19-Datos!BD19)/Datos!BD19," - ")</f>
        <v>1.7219620088472647E-2</v>
      </c>
      <c r="I19" s="952">
        <f>IF(ISNUMBER((Tasas!C19-Datos!BE19)/Datos!BE19),(Tasas!C19-Datos!BE19)/Datos!BE19," - ")</f>
        <v>0.2168983518298897</v>
      </c>
      <c r="J19" s="953">
        <f>IF(ISNUMBER((Tasas!D19-Datos!BF19)/Datos!BF19),(Tasas!D19-Datos!BF19)/Datos!BF19," - ")</f>
        <v>-0.27772596407282757</v>
      </c>
      <c r="K19" s="953">
        <f>IF(ISNUMBER((Tasas!E19-Datos!BG19)/Datos!BG19),(Tasas!E19-Datos!BG19)/Datos!BG19," - ")</f>
        <v>0.14856626939413362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5sqksjtcRxWUDLrwZFIfyjNxG4LIaSI6IHxvslp2+zXCjS23F1iZMLQWe8FPj61NakAWEnUBtzG9EW3fPwO0g==" saltValue="bkydVCBPe2Q52HFmeuCQ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TREMP</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1.8333333333333333</v>
      </c>
      <c r="D10" s="460">
        <f>IF(ISNUMBER('Resol  Asuntos'!D10/NºAsuntos!G10),'Resol  Asuntos'!D10/NºAsuntos!G10," - ")</f>
        <v>0.5</v>
      </c>
      <c r="E10" s="461">
        <f>IF(ISNUMBER((NºAsuntos!C10+NºAsuntos!E10)/NºAsuntos!G10),(NºAsuntos!C10+NºAsuntos!E10)/NºAsuntos!G10," - ")</f>
        <v>2.8333333333333335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0.85606060606060608</v>
      </c>
      <c r="C12" s="459">
        <f>IF(ISNUMBER(NºAsuntos!I12/NºAsuntos!G12),NºAsuntos!I12/NºAsuntos!G12," - ")</f>
        <v>3.9336283185840708</v>
      </c>
      <c r="D12" s="460">
        <f>IF(ISNUMBER('Resol  Asuntos'!D12/NºAsuntos!G12),'Resol  Asuntos'!D12/NºAsuntos!G12," - ")</f>
        <v>0.13274336283185842</v>
      </c>
      <c r="E12" s="461">
        <f>IF(ISNUMBER((NºAsuntos!C12+NºAsuntos!E12)/NºAsuntos!G12),(NºAsuntos!C12+NºAsuntos!E12)/NºAsuntos!G12," - ")</f>
        <v>4.9336283185840708</v>
      </c>
      <c r="G12" s="479"/>
    </row>
    <row r="13" spans="1:7" ht="14.25" thickTop="1" thickBot="1">
      <c r="A13" s="994" t="str">
        <f>Datos!A13</f>
        <v>TOTAL</v>
      </c>
      <c r="B13" s="1004">
        <f>IF(ISNUMBER(NºAsuntos!G13/NºAsuntos!E13),NºAsuntos!G13/NºAsuntos!E13," - ")</f>
        <v>0.84671532846715325</v>
      </c>
      <c r="C13" s="1005">
        <f>IF(ISNUMBER(NºAsuntos!I13/NºAsuntos!G13),NºAsuntos!I13/NºAsuntos!G13," - ")</f>
        <v>3.8793103448275863</v>
      </c>
      <c r="D13" s="1006">
        <f>IF(ISNUMBER('Resol  Asuntos'!D13/NºAsuntos!G13),'Resol  Asuntos'!D13/NºAsuntos!G13," - ")</f>
        <v>0.14224137931034483</v>
      </c>
      <c r="E13" s="1007">
        <f>IF(ISNUMBER((NºAsuntos!C13+NºAsuntos!E13)/NºAsuntos!G13),(NºAsuntos!C13+NºAsuntos!E13)/NºAsuntos!G13," - ")</f>
        <v>4.8793103448275863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0.85802469135802473</v>
      </c>
      <c r="C16" s="459">
        <f>IF(ISNUMBER(NºAsuntos!I16/NºAsuntos!G16),NºAsuntos!I16/NºAsuntos!G16," - ")</f>
        <v>1.7661870503597121</v>
      </c>
      <c r="D16" s="460">
        <f>IF(ISNUMBER('Resol  Asuntos'!D16/NºAsuntos!G16),'Resol  Asuntos'!D16/NºAsuntos!G16," - ")</f>
        <v>0.1223021582733813</v>
      </c>
      <c r="E16" s="461">
        <f>IF(ISNUMBER((NºAsuntos!C16+NºAsuntos!E16)/NºAsuntos!G16),(NºAsuntos!C16+NºAsuntos!E16)/NºAsuntos!G16," - ")</f>
        <v>2.7661870503597124</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1.34375</v>
      </c>
      <c r="D17" s="460">
        <f>IF(ISNUMBER('Resol  Asuntos'!D17/NºAsuntos!G17),'Resol  Asuntos'!D17/NºAsuntos!G17," - ")</f>
        <v>0.1875</v>
      </c>
      <c r="E17" s="461">
        <f>IF(ISNUMBER((NºAsuntos!C17+NºAsuntos!E17)/NºAsuntos!G17),(NºAsuntos!C17+NºAsuntos!E17)/NºAsuntos!G17," - ")</f>
        <v>2.34375</v>
      </c>
      <c r="G17" s="479"/>
    </row>
    <row r="18" spans="1:7" ht="14.25" thickTop="1" thickBot="1">
      <c r="A18" s="994" t="str">
        <f>Datos!A18</f>
        <v>TOTAL</v>
      </c>
      <c r="B18" s="1004">
        <f>IF(ISNUMBER(NºAsuntos!G18/NºAsuntos!E18),NºAsuntos!G18/NºAsuntos!E18," - ")</f>
        <v>0.8707865168539326</v>
      </c>
      <c r="C18" s="1005">
        <f>IF(ISNUMBER(NºAsuntos!I18/NºAsuntos!G18),NºAsuntos!I18/NºAsuntos!G18," - ")</f>
        <v>1.7225806451612904</v>
      </c>
      <c r="D18" s="1008">
        <f>IF(ISNUMBER('Resol  Asuntos'!D18/NºAsuntos!G18),'Resol  Asuntos'!D18/NºAsuntos!G18," - ")</f>
        <v>0.12903225806451613</v>
      </c>
      <c r="E18" s="1007">
        <f>IF(ISNUMBER((NºAsuntos!C18+NºAsuntos!E18)/NºAsuntos!G18),(NºAsuntos!C18+NºAsuntos!E18)/NºAsuntos!G18," - ")</f>
        <v>2.7225806451612904</v>
      </c>
      <c r="G18" s="479"/>
    </row>
    <row r="19" spans="1:7" ht="15.75" customHeight="1" thickTop="1" thickBot="1">
      <c r="A19" s="939" t="str">
        <f>Datos!A19</f>
        <v>TOTAL JURISDICCIONES</v>
      </c>
      <c r="B19" s="954">
        <f>IF(ISNUMBER(NºAsuntos!G19/NºAsuntos!E19),NºAsuntos!G19/NºAsuntos!E19," - ")</f>
        <v>0.86031746031746037</v>
      </c>
      <c r="C19" s="955">
        <f>IF(ISNUMBER(NºAsuntos!I19/NºAsuntos!G19),NºAsuntos!I19/NºAsuntos!G19," - ")</f>
        <v>2.6457564575645756</v>
      </c>
      <c r="D19" s="956">
        <f>IF(ISNUMBER('Resol  Asuntos'!D19/NºAsuntos!G19),'Resol  Asuntos'!D19/NºAsuntos!G19," - ")</f>
        <v>0.13468634686346864</v>
      </c>
      <c r="E19" s="957">
        <f>IF(ISNUMBER((NºAsuntos!C19+NºAsuntos!E19)/NºAsuntos!G19),(NºAsuntos!C19+NºAsuntos!E19)/NºAsuntos!G19," - ")</f>
        <v>3.6457564575645756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eylyfWc7hZ/p/aGj8EhlxKrKXRCUgKJ2ja4poQR48Av2U/aYR20VNV/bLDQHAS+OVP773J6Dg6tMwCGXv9dcA==" saltValue="qQPCGqd9VmwTHKeNiyw5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TREMP</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4</v>
      </c>
      <c r="Y10" s="343">
        <f t="shared" ref="Y10:Y12" si="0">SUM(W10:X10)</f>
        <v>10</v>
      </c>
      <c r="Z10" s="344" t="str">
        <f>IF(ISNUMBER(Datos!CC10),Datos!CC10," - ")</f>
        <v xml:space="preserve"> - </v>
      </c>
      <c r="AA10" s="341">
        <f>IF(ISNUMBER(Datos!L10),Datos!L10,"-")</f>
        <v>11</v>
      </c>
      <c r="AB10" s="343">
        <f>IF(ISNUMBER(Datos!R10),Datos!R10," - ")</f>
        <v>15</v>
      </c>
      <c r="AC10" s="343">
        <f t="shared" ref="AC10:AC12" si="1">IF(ISNUMBER(AA10+AB10),AA10+AB10," - ")</f>
        <v>26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3.6666666666666661</v>
      </c>
      <c r="AN10" s="248">
        <f>IF(ISNUMBER('Resol  Asuntos'!D10/NºAsuntos!G10),'Resol  Asuntos'!D10/NºAsuntos!G10," - ")</f>
        <v>0.5</v>
      </c>
      <c r="AO10" s="249">
        <f>IF(ISNUMBER((NºAsuntos!C10+NºAsuntos!E10)/NºAsuntos!G10),(NºAsuntos!C10+NºAsuntos!E10)/NºAsuntos!G10," - ")</f>
        <v>2.8333333333333335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v>
      </c>
      <c r="Y12" s="343">
        <f t="shared" si="0"/>
        <v>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0.85606060606060608</v>
      </c>
      <c r="AM12" s="264">
        <f>IF(ISNUMBER(((NºAsuntos!I12/NºAsuntos!G12)*11)/factor_trimestre),((NºAsuntos!I12/NºAsuntos!G12)*11)/factor_trimestre," - ")</f>
        <v>7.8672566371681407</v>
      </c>
      <c r="AN12" s="248">
        <f>IF(ISNUMBER('Resol  Asuntos'!D12/NºAsuntos!G12),'Resol  Asuntos'!D12/NºAsuntos!G12," - ")</f>
        <v>0.13274336283185842</v>
      </c>
      <c r="AO12" s="249">
        <f>IF(ISNUMBER((NºAsuntos!C12+NºAsuntos!E12)/NºAsuntos!G12),(NºAsuntos!C12+NºAsuntos!E12)/NºAsuntos!G12," - ")</f>
        <v>4.9336283185840708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7</v>
      </c>
      <c r="G13" s="1012">
        <f t="shared" si="3"/>
        <v>7</v>
      </c>
      <c r="H13" s="1011">
        <f t="shared" si="3"/>
        <v>0</v>
      </c>
      <c r="I13" s="1013">
        <f t="shared" si="3"/>
        <v>0</v>
      </c>
      <c r="J13" s="1013">
        <f t="shared" si="3"/>
        <v>0</v>
      </c>
      <c r="K13" s="1013">
        <f t="shared" si="3"/>
        <v>0</v>
      </c>
      <c r="L13" s="1013">
        <f t="shared" si="3"/>
        <v>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28</v>
      </c>
      <c r="Y13" s="1014">
        <f t="shared" si="4"/>
        <v>34</v>
      </c>
      <c r="Z13" s="1014">
        <f t="shared" si="4"/>
        <v>0</v>
      </c>
      <c r="AA13" s="1014">
        <f t="shared" si="4"/>
        <v>11</v>
      </c>
      <c r="AB13" s="1014">
        <f t="shared" si="4"/>
        <v>879</v>
      </c>
      <c r="AC13" s="1014">
        <f t="shared" si="4"/>
        <v>26</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0.84671532846715325</v>
      </c>
      <c r="AM13" s="1020">
        <f>IF(ISNUMBER(((NºAsuntos!I13/NºAsuntos!G13)*11)/factor_trimestre),((NºAsuntos!I13/NºAsuntos!G13)*11)/factor_trimestre," - ")</f>
        <v>7.7586206896551735</v>
      </c>
      <c r="AN13" s="1021">
        <f>IF(ISNUMBER('Resol  Asuntos'!D13/NºAsuntos!G13),'Resol  Asuntos'!D13/NºAsuntos!G13," - ")</f>
        <v>0.14224137931034483</v>
      </c>
      <c r="AO13" s="1022">
        <f>IF(ISNUMBER((NºAsuntos!C13+NºAsuntos!E13)/NºAsuntos!G13),(NºAsuntos!C13+NºAsuntos!E13)/NºAsuntos!G13," - ")</f>
        <v>4.8793103448275863</v>
      </c>
      <c r="AP13" s="1023" t="str">
        <f t="shared" si="2"/>
        <v xml:space="preserve"> - </v>
      </c>
      <c r="AQ13" s="1023">
        <f>IF(ISNUMBER((H13-W13+K13)/(F13)),(H13-W13+K13)/(F13)," - ")</f>
        <v>-0.8571428571428571</v>
      </c>
      <c r="AR13" s="1024">
        <f>IF(ISNUMBER((Datos!P13-Datos!Q13)/(Datos!R13-Datos!P13+Datos!Q13)),(Datos!P13-Datos!Q13)/(Datos!R13-Datos!P13+Datos!Q13)," - ")</f>
        <v>1.8539976825028968E-2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445</v>
      </c>
      <c r="G16" s="342">
        <f>IF(ISNUMBER(IF(D_I="SI",Datos!I16,Datos!I16+Datos!AC16)),IF(D_I="SI",Datos!I16,Datos!I16+Datos!AC16)," - ")</f>
        <v>445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278</v>
      </c>
      <c r="X16" s="230">
        <f>IF(ISNUMBER(Datos!Q16),Datos!Q16," - ")</f>
        <v>3</v>
      </c>
      <c r="Y16" s="343">
        <f t="shared" ref="Y16:Y17" si="7">SUM(W16:X16)</f>
        <v>281</v>
      </c>
      <c r="Z16" s="344" t="str">
        <f>IF(ISNUMBER(Datos!CC16),Datos!CC16," - ")</f>
        <v xml:space="preserve"> - </v>
      </c>
      <c r="AA16" s="341">
        <f>IF(ISNUMBER(IF(D_I="SI",Datos!L16,Datos!L16+Datos!AF16)),IF(D_I="SI",Datos!L16,Datos!L16+Datos!AF16)," - ")</f>
        <v>491</v>
      </c>
      <c r="AB16" s="343">
        <f>IF(ISNUMBER(Datos!R16),Datos!R16," - ")</f>
        <v>55</v>
      </c>
      <c r="AC16" s="343">
        <f t="shared" si="6"/>
        <v>546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0.85802469135802473</v>
      </c>
      <c r="AM16" s="264">
        <f>IF(ISNUMBER(((NºAsuntos!I16/NºAsuntos!G16)*11)/factor_trimestre),((NºAsuntos!I16/NºAsuntos!G16)*11)/factor_trimestre," - ")</f>
        <v>3.5323741007194243</v>
      </c>
      <c r="AN16" s="248">
        <f>IF(ISNUMBER('Resol  Asuntos'!D16/NºAsuntos!G16),'Resol  Asuntos'!D16/NºAsuntos!G16," - ")</f>
        <v>0.1223021582733813</v>
      </c>
      <c r="AO16" s="249">
        <f>IF(ISNUMBER((NºAsuntos!C16+NºAsuntos!E16)/NºAsuntos!G16),(NºAsuntos!C16+NºAsuntos!E16)/NºAsuntos!G16," - ")</f>
        <v>2.7661870503597124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43</v>
      </c>
      <c r="AB17" s="343">
        <f>IF(ISNUMBER(Datos!R17),Datos!R17," - ")</f>
        <v>2</v>
      </c>
      <c r="AC17" s="343">
        <f t="shared" si="6"/>
        <v>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2.6875</v>
      </c>
      <c r="AN17" s="248">
        <f>IF(ISNUMBER('Resol  Asuntos'!D17/NºAsuntos!G17),'Resol  Asuntos'!D17/NºAsuntos!G17," - ")</f>
        <v>0.1875</v>
      </c>
      <c r="AO17" s="249">
        <f>IF(ISNUMBER((NºAsuntos!C17+NºAsuntos!E17)/NºAsuntos!G17),(NºAsuntos!C17+NºAsuntos!E17)/NºAsuntos!G17," - ")</f>
        <v>2.34375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445</v>
      </c>
      <c r="G18" s="1012">
        <f>SUBTOTAL(9,G15:G17)</f>
        <v>488</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310</v>
      </c>
      <c r="X18" s="1013">
        <f t="shared" si="11"/>
        <v>3</v>
      </c>
      <c r="Y18" s="1014">
        <f t="shared" si="11"/>
        <v>313</v>
      </c>
      <c r="Z18" s="1014">
        <f t="shared" si="11"/>
        <v>0</v>
      </c>
      <c r="AA18" s="1014">
        <f t="shared" si="11"/>
        <v>534</v>
      </c>
      <c r="AB18" s="1014">
        <f t="shared" si="11"/>
        <v>57</v>
      </c>
      <c r="AC18" s="1014">
        <f t="shared" si="11"/>
        <v>591</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0.8707865168539326</v>
      </c>
      <c r="AM18" s="1020">
        <f>IF(ISNUMBER(((NºAsuntos!I18/NºAsuntos!G18)*11)/factor_trimestre),((NºAsuntos!I18/NºAsuntos!G18)*11)/factor_trimestre," - ")</f>
        <v>3.4451612903225808</v>
      </c>
      <c r="AN18" s="1021">
        <f>IF(ISNUMBER('Resol  Asuntos'!D18/NºAsuntos!G18),'Resol  Asuntos'!D18/NºAsuntos!G18," - ")</f>
        <v>0.12903225806451613</v>
      </c>
      <c r="AO18" s="1022">
        <f>IF(ISNUMBER((NºAsuntos!C18+NºAsuntos!E18)/NºAsuntos!G18),(NºAsuntos!C18+NºAsuntos!E18)/NºAsuntos!G18," - ")</f>
        <v>2.7225806451612904</v>
      </c>
      <c r="AP18" s="1023" t="str">
        <f t="shared" si="2"/>
        <v xml:space="preserve"> - </v>
      </c>
      <c r="AQ18" s="1023">
        <f>IF(ISNUMBER((H18-W18+K18)/(F18)),(H18-W18+K18)/(F18)," - ")</f>
        <v>-0.6966292134831461</v>
      </c>
      <c r="AR18" s="1024">
        <f>IF(ISNUMBER((Datos!P18-Datos!Q18)/(Datos!R18-Datos!P18+Datos!Q18)),(Datos!P18-Datos!Q18)/(Datos!R18-Datos!P18+Datos!Q18)," - ")</f>
        <v>0.16326530612244897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452</v>
      </c>
      <c r="G19" s="967">
        <f t="shared" si="13"/>
        <v>495</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316</v>
      </c>
      <c r="X19" s="967">
        <f t="shared" si="14"/>
        <v>31</v>
      </c>
      <c r="Y19" s="974">
        <f t="shared" si="14"/>
        <v>347</v>
      </c>
      <c r="Z19" s="974">
        <f t="shared" si="14"/>
        <v>0</v>
      </c>
      <c r="AA19" s="974">
        <f t="shared" si="14"/>
        <v>545</v>
      </c>
      <c r="AB19" s="974">
        <f t="shared" si="14"/>
        <v>936</v>
      </c>
      <c r="AC19" s="974">
        <f t="shared" si="14"/>
        <v>617</v>
      </c>
      <c r="AD19" s="974">
        <f t="shared" si="14"/>
        <v>0</v>
      </c>
      <c r="AE19" s="976">
        <f t="shared" si="14"/>
        <v>0</v>
      </c>
      <c r="AF19" s="977">
        <f t="shared" si="14"/>
        <v>0</v>
      </c>
      <c r="AG19" s="978">
        <f t="shared" si="14"/>
        <v>0</v>
      </c>
      <c r="AH19" s="976">
        <f t="shared" si="14"/>
        <v>0</v>
      </c>
      <c r="AI19" s="966">
        <f t="shared" si="14"/>
        <v>73</v>
      </c>
      <c r="AJ19" s="966">
        <f t="shared" si="14"/>
        <v>0</v>
      </c>
      <c r="AK19" s="976">
        <f t="shared" si="14"/>
        <v>0</v>
      </c>
      <c r="AL19" s="1030">
        <f>IF(ISNUMBER(NºAsuntos!G19/NºAsuntos!E19),NºAsuntos!G19/NºAsuntos!E19," - ")</f>
        <v>0.86031746031746037</v>
      </c>
      <c r="AM19" s="1031">
        <f>IF(ISNUMBER(((NºAsuntos!I19/NºAsuntos!G19)*11)/factor_trimestre),((NºAsuntos!I19/NºAsuntos!G19)*11)/factor_trimestre," - ")</f>
        <v>5.2915129151291511</v>
      </c>
      <c r="AN19" s="1031">
        <f>IF(ISNUMBER('Resol  Asuntos'!D19/NºAsuntos!G19),'Resol  Asuntos'!D19/NºAsuntos!G19," - ")</f>
        <v>0.13468634686346864</v>
      </c>
      <c r="AO19" s="1032">
        <f>IF(ISNUMBER((NºAsuntos!C19+NºAsuntos!E19)/NºAsuntos!G19),(NºAsuntos!C19+NºAsuntos!E19)/NºAsuntos!G19," - ")</f>
        <v>3.6457564575645756</v>
      </c>
      <c r="AP19" s="1033" t="str">
        <f t="shared" si="2"/>
        <v xml:space="preserve"> - </v>
      </c>
      <c r="AQ19" s="1034">
        <f>IF(OR(ISNUMBER(FIND("01",Criterios!A8,1)),ISNUMBER(FIND("02",Criterios!A8,1)),ISNUMBER(FIND("03",Criterios!A8,1)),ISNUMBER(FIND("04",Criterios!A8,1))),(I19-W19+K19)/(F19-K19),(H19-W19+K19)/(F19-K19))</f>
        <v>-0.69911504424778759</v>
      </c>
      <c r="AR19" s="1035">
        <f>IF(ISNUMBER((Datos!P19-Datos!Q19)/(Datos!R19-Datos!P19+Datos!Q19)),(Datos!P19-Datos!Q19)/(Datos!R19-Datos!P19+Datos!Q19)," - ")</f>
        <v>2.6315789473684209E-2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252.87941790505607</v>
      </c>
      <c r="G21" s="257">
        <f>IF(ISNUMBER(STDEV(G8:G18)),STDEV(G8:G18),"-")</f>
        <v>246.01625962525321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153.7816634062722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15.731073284002802</v>
      </c>
      <c r="AJ21" s="256">
        <f t="shared" si="18"/>
        <v>0</v>
      </c>
      <c r="AK21" s="258">
        <f t="shared" si="18"/>
        <v>0</v>
      </c>
      <c r="AL21" s="253">
        <f t="shared" si="18"/>
        <v>0.13020287385009915</v>
      </c>
      <c r="AM21" s="254">
        <f t="shared" si="18"/>
        <v>2.338671638515383</v>
      </c>
      <c r="AN21" s="254">
        <f t="shared" si="18"/>
        <v>0.14768704094899571</v>
      </c>
      <c r="AO21" s="255">
        <f t="shared" si="18"/>
        <v>1.1693358192576933</v>
      </c>
      <c r="AP21" s="295" t="str">
        <f t="shared" si="18"/>
        <v>-</v>
      </c>
      <c r="AQ21" s="296">
        <f t="shared" si="18"/>
        <v>0.11350028590474216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vBiJT2rNYZLE1BI/kUxENlidQvaHhVCjErbIHDTa8hpBLYazDE+gqxgRDPArQfz3u+wXHwtxl0XW5yo+9OlA==" saltValue="TFTu7nNLwdX2ztAQPSzo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TREMP</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1.3333333333333333</v>
      </c>
      <c r="E10" s="357">
        <f>IF(ISNUMBER((Datos!J10-Datos!T10)/Datos!T10),(Datos!J10-Datos!T10)/Datos!T10," - ")</f>
        <v>2.3333333333333335</v>
      </c>
      <c r="F10" s="357">
        <f>IF(ISNUMBER((Datos!K10-Datos!U10)/Datos!U10),(Datos!K10-Datos!U10)/Datos!U10," - ")</f>
        <v>1</v>
      </c>
      <c r="G10" s="358">
        <f>IF(ISNUMBER((Datos!L10-Datos!V10)/Datos!V10),(Datos!L10-Datos!V10)/Datos!V10," - ")</f>
        <v>2.6666666666666665</v>
      </c>
      <c r="H10" s="234" t="str">
        <f>IF(ISNUMBER((Datos!M10-Datos!W10)/Datos!W10),(Datos!M10-Datos!W10)/Datos!W10," - ")</f>
        <v xml:space="preserve"> - </v>
      </c>
      <c r="I10" s="359">
        <f>IF(ISNUMBER((Tasas!C10-Datos!BE10)/Datos!BE10),(Tasas!C10-Datos!BE10)/Datos!BE10," - ")</f>
        <v>0.83333333333333326</v>
      </c>
      <c r="J10" s="358" t="str">
        <f>IF(ISNUMBER((Tasas!D10-Datos!BF10)/Datos!BF10),(Tasas!D10-Datos!BF10)/Datos!BF10," - ")</f>
        <v xml:space="preserve"> - </v>
      </c>
      <c r="K10" s="360">
        <f>IF(ISNUMBER((Tasas!E10-Datos!BG10)/Datos!BG10),(Tasas!E10-Datos!BG10)/Datos!BG10," - ")</f>
        <v>0.41666666666666674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-0.21052631578947367</v>
      </c>
      <c r="I12" s="359">
        <f>IF(ISNUMBER((Tasas!C12-Datos!BE12)/Datos!BE12),(Tasas!C12-Datos!BE12)/Datos!BE12," - ")</f>
        <v>-6.8851267581548359E-2</v>
      </c>
      <c r="J12" s="358">
        <f>IF(ISNUMBER((Tasas!D12-Datos!BF12)/Datos!BF12),(Tasas!D12-Datos!BF12)/Datos!BF12," - ")</f>
        <v>-0.63182501252295875</v>
      </c>
      <c r="K12" s="360">
        <f>IF(ISNUMBER((Tasas!E12-Datos!BG12)/Datos!BG12),(Tasas!E12-Datos!BG12)/Datos!BG12," - ")</f>
        <v>-5.5672704646017625E-2</v>
      </c>
      <c r="M12" t="e">
        <f>IF(Monitorios="SI",Datos!CE12,0)</f>
        <v>#REF!</v>
      </c>
      <c r="N12" t="e">
        <f>IF(Monitorios="SI",Datos!CF12,0)</f>
        <v>#REF!</v>
      </c>
      <c r="O12" t="e">
        <f>IF(Monitorios="SI",Datos!CG12,0)</f>
        <v>#REF!</v>
      </c>
      <c r="P12" t="e">
        <f>IF(Monitorios="SI",Datos!CH12,0)</f>
        <v>#REF!</v>
      </c>
      <c r="Q12">
        <f>IF(J_V="SI",0,Datos!AG12)</f>
        <v>19</v>
      </c>
      <c r="R12">
        <f>IF(J_V="SI",0,Datos!AH12)</f>
        <v>5</v>
      </c>
      <c r="S12">
        <f>IF(J_V="SI",0,Datos!AI12)</f>
        <v>3</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-0.13157894736842105</v>
      </c>
      <c r="I13" s="366">
        <f>IF(ISNUMBER((Tasas!C13-Datos!BE13)/Datos!BE13),(Tasas!C13-Datos!BE13)/Datos!BE13," - ")</f>
        <v>-6.7473474801061015E-2</v>
      </c>
      <c r="J13" s="364">
        <f>IF(ISNUMBER((Tasas!D13-Datos!BF13)/Datos!BF13),(Tasas!D13-Datos!BF13)/Datos!BF13," - ")</f>
        <v>-0.59743005855562781</v>
      </c>
      <c r="K13" s="367">
        <f>IF(ISNUMBER((Tasas!E13-Datos!BG13)/Datos!BG13),(Tasas!E13-Datos!BG13)/Datos!BG13," - ")</f>
        <v>-5.4397219994653842E-2</v>
      </c>
      <c r="M13" t="e">
        <f>IF(Monitorios="SI",Datos!CE13,0)</f>
        <v>#REF!</v>
      </c>
      <c r="N13" t="e">
        <f>IF(Monitorios="SI",Datos!CF13,0)</f>
        <v>#REF!</v>
      </c>
      <c r="O13" t="e">
        <f>IF(Monitorios="SI",Datos!CG13,0)</f>
        <v>#REF!</v>
      </c>
      <c r="P13" t="e">
        <f>IF(Monitorios="SI",Datos!CH13,0)</f>
        <v>#REF!</v>
      </c>
      <c r="Q13">
        <f>IF(J_V="SI",0,Datos!AG13)</f>
        <v>19</v>
      </c>
      <c r="R13">
        <f>IF(J_V="SI",0,Datos!AH13)</f>
        <v>5</v>
      </c>
      <c r="S13">
        <f>IF(J_V="SI",0,Datos!AI13)</f>
        <v>3</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0.2292817679558011</v>
      </c>
      <c r="E16" s="357">
        <f>IF(ISNUMBER(
   IF(D_I="SI",(Datos!J16-Datos!T16)/Datos!T16,(Datos!J16+Datos!AD16-(Datos!T16+Datos!AL16))/(Datos!T16+Datos!AL16))
     ),IF(D_I="SI",(Datos!J16-Datos!T16)/Datos!T16,(Datos!J16+Datos!AD16-(Datos!T16+Datos!AL16))/(Datos!T16+Datos!AL16))," - ")</f>
        <v>-0.10249307479224377</v>
      </c>
      <c r="F16" s="357">
        <f>IF(ISNUMBER(
   IF(D_I="SI",(Datos!K16-Datos!U16)/Datos!U16,(Datos!K16+Datos!AE16-(Datos!U16+Datos!AM16))/(Datos!U16+Datos!AM16))
     ),IF(D_I="SI",(Datos!K16-Datos!U16)/Datos!U16,(Datos!K16+Datos!AE16-(Datos!U16+Datos!AM16))/(Datos!U16+Datos!AM16))," - ")</f>
        <v>-0.12578616352201258</v>
      </c>
      <c r="G16" s="358">
        <f>IF(ISNUMBER(
   IF(D_I="SI",(Datos!L16-Datos!V16)/Datos!V16,(Datos!L16+Datos!AF16-(Datos!V16+Datos!AN16))/(Datos!V16+Datos!AN16))
     ),IF(D_I="SI",(Datos!L16-Datos!V16)/Datos!V16,(Datos!L16+Datos!AF16-(Datos!V16+Datos!AN16))/(Datos!V16+Datos!AN16))," - ")</f>
        <v>0.21234567901234569</v>
      </c>
      <c r="H16" s="234">
        <f>IF(ISNUMBER((Datos!M16-Datos!W16)/Datos!W16),(Datos!M16-Datos!W16)/Datos!W16," - ")</f>
        <v>0</v>
      </c>
      <c r="I16" s="359">
        <f>IF(ISNUMBER((Tasas!C16-Datos!BE16)/Datos!BE16),(Tasas!C16-Datos!BE16)/Datos!BE16," - ")</f>
        <v>0.3867839062083665</v>
      </c>
      <c r="J16" s="358">
        <f>IF(ISNUMBER((Tasas!D16-Datos!BF16)/Datos!BF16),(Tasas!D16-Datos!BF16)/Datos!BF16," - ")</f>
        <v>0.14388489208633093</v>
      </c>
      <c r="K16" s="360">
        <f>IF(ISNUMBER((Tasas!E16-Datos!BG16)/Datos!BG16),(Tasas!E16-Datos!BG16)/Datos!BG16," - ")</f>
        <v>0.21666318397564108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0.72</v>
      </c>
      <c r="E17" s="357">
        <f>IF(ISNUMBER(
   IF(D_I="SI",(Datos!J17-Datos!T17)/Datos!T17,(Datos!J17+Datos!AD17-(Datos!T17+Datos!AL17))/(Datos!T17+Datos!AL17))
     ),IF(D_I="SI",(Datos!J17-Datos!T17)/Datos!T17,(Datos!J17+Datos!AD17-(Datos!T17+Datos!AL17))/(Datos!T17+Datos!AL17))," - ")</f>
        <v>0.18518518518518517</v>
      </c>
      <c r="F17" s="357">
        <f>IF(ISNUMBER(
   IF(D_I="SI",(Datos!K17-Datos!U17)/Datos!U17,(Datos!K17+Datos!AE17-(Datos!U17+Datos!AM17))/(Datos!U17+Datos!AM17))
     ),IF(D_I="SI",(Datos!K17-Datos!U17)/Datos!U17,(Datos!K17+Datos!AE17-(Datos!U17+Datos!AM17))/(Datos!U17+Datos!AM17))," - ")</f>
        <v>0.6</v>
      </c>
      <c r="G17" s="358">
        <f>IF(ISNUMBER(
   IF(D_I="SI",(Datos!L17-Datos!V17)/Datos!V17,(Datos!L17+Datos!AF17-(Datos!V17+Datos!AN17))/(Datos!V17+Datos!AN17))
     ),IF(D_I="SI",(Datos!L17-Datos!V17)/Datos!V17,(Datos!L17+Datos!AF17-(Datos!V17+Datos!AN17))/(Datos!V17+Datos!AN17))," - ")</f>
        <v>0.34375</v>
      </c>
      <c r="H17" s="234">
        <f>IF(ISNUMBER((Datos!M17-Datos!W17)/Datos!W17),(Datos!M17-Datos!W17)/Datos!W17," - ")</f>
        <v>0.5</v>
      </c>
      <c r="I17" s="359">
        <f>IF(ISNUMBER((Tasas!C17-Datos!BE17)/Datos!BE17),(Tasas!C17-Datos!BE17)/Datos!BE17," - ")</f>
        <v>-0.16015625000000006</v>
      </c>
      <c r="J17" s="358">
        <f>IF(ISNUMBER((Tasas!D17-Datos!BF17)/Datos!BF17),(Tasas!D17-Datos!BF17)/Datos!BF17," - ")</f>
        <v>-6.2500000000000056E-2</v>
      </c>
      <c r="K17" s="360">
        <f>IF(ISNUMBER((Tasas!E17-Datos!BG17)/Datos!BG17),(Tasas!E17-Datos!BG17)/Datos!BG17," - ")</f>
        <v>-9.8557692307692332E-2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0.26098191214470284</v>
      </c>
      <c r="E18" s="363">
        <f>IF(ISNUMBER(
   IF(D_I="SI",(Datos!J18-Datos!T18)/Datos!T18,(Datos!J18+Datos!AD18-(Datos!T18+Datos!AL18))/(Datos!T18+Datos!AL18))
     ),IF(D_I="SI",(Datos!J18-Datos!T18)/Datos!T18,(Datos!J18+Datos!AD18-(Datos!T18+Datos!AL18))/(Datos!T18+Datos!AL18))," - ")</f>
        <v>-8.247422680412371E-2</v>
      </c>
      <c r="F18" s="363">
        <f>IF(ISNUMBER(
   IF(D_I="SI",(Datos!K18-Datos!U18)/Datos!U18,(Datos!K18+Datos!AE18-(Datos!U18+Datos!AM18))/(Datos!U18+Datos!AM18))
     ),IF(D_I="SI",(Datos!K18-Datos!U18)/Datos!U18,(Datos!K18+Datos!AE18-(Datos!U18+Datos!AM18))/(Datos!U18+Datos!AM18))," - ")</f>
        <v>-8.2840236686390539E-2</v>
      </c>
      <c r="G18" s="364">
        <f>IF(ISNUMBER(
   IF(D_I="SI",(Datos!L18-Datos!V18)/Datos!V18,(Datos!L18+Datos!AF18-(Datos!V18+Datos!AN18))/(Datos!V18+Datos!AN18))
     ),IF(D_I="SI",(Datos!L18-Datos!V18)/Datos!V18,(Datos!L18+Datos!AF18-(Datos!V18+Datos!AN18))/(Datos!V18+Datos!AN18))," - ")</f>
        <v>0.2219679633867277</v>
      </c>
      <c r="H18" s="365">
        <f>IF(ISNUMBER((Datos!M18-Datos!W18)/Datos!W18),(Datos!M18-Datos!W18)/Datos!W18," - ")</f>
        <v>5.2631578947368418E-2</v>
      </c>
      <c r="I18" s="366">
        <f>IF(ISNUMBER((Tasas!C18-Datos!BE18)/Datos!BE18),(Tasas!C18-Datos!BE18)/Datos!BE18," - ")</f>
        <v>0.33233926330552888</v>
      </c>
      <c r="J18" s="364">
        <f>IF(ISNUMBER((Tasas!D18-Datos!BF18)/Datos!BF18),(Tasas!D18-Datos!BF18)/Datos!BF18," - ")</f>
        <v>0.14770797962648549</v>
      </c>
      <c r="K18" s="367">
        <f>IF(ISNUMBER((Tasas!E18-Datos!BG18)/Datos!BG18),(Tasas!E18-Datos!BG18)/Datos!BG18," - ")</f>
        <v>0.1873964620187305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0.38477366255144035</v>
      </c>
      <c r="E19" s="372">
        <f>IF(ISNUMBER(
   IF(J_V="SI",(Datos!J19-Datos!T19)/Datos!T19,(Datos!J19+Datos!Z19-(Datos!T19+Datos!AH19))/(Datos!T19+Datos!AH19))
     ),IF(J_V="SI",(Datos!J19-Datos!T19)/Datos!T19,(Datos!J19+Datos!Z19-(Datos!T19+Datos!AH19))/(Datos!T19+Datos!AH19))," - ")</f>
        <v>9.1854419410745236E-2</v>
      </c>
      <c r="F19" s="372">
        <f>IF(ISNUMBER(
   IF(J_V="SI",(Datos!K19-Datos!U19)/Datos!U19,(Datos!K19+Datos!AA19-(Datos!U19+Datos!AI19))/(Datos!U19+Datos!AI19))
     ),IF(J_V="SI",(Datos!K19-Datos!U19)/Datos!U19,(Datos!K19+Datos!AA19-(Datos!U19+Datos!AI19))/(Datos!U19+Datos!AI19))," - ")</f>
        <v>0.11065573770491803</v>
      </c>
      <c r="G19" s="373">
        <f>IF(ISNUMBER(
   IF(J_V="SI",(Datos!L19-Datos!V19)/Datos!V19,(Datos!L19+Datos!AB19-(Datos!V19+Datos!AJ19))/(Datos!V19+Datos!AJ19))
     ),IF(J_V="SI",(Datos!L19-Datos!V19)/Datos!V19,(Datos!L19+Datos!AB19-(Datos!V19+Datos!AJ19))/(Datos!V19+Datos!AJ19))," - ")</f>
        <v>0.351555136663525</v>
      </c>
      <c r="H19" s="374">
        <f>IF(ISNUMBER((Datos!M19-Datos!W19)/Datos!W19),(Datos!M19-Datos!W19)/Datos!W19," - ")</f>
        <v>-3.9473684210526314E-2</v>
      </c>
      <c r="I19" s="371">
        <f>IF(ISNUMBER((Tasas!C19-Datos!BE19)/Datos!BE19),(Tasas!C19-Datos!BE19)/Datos!BE19," - ")</f>
        <v>0.2168983518298897</v>
      </c>
      <c r="J19" s="372">
        <f>IF(ISNUMBER((Tasas!D19-Datos!BF19)/Datos!BF19),(Tasas!D19-Datos!BF19)/Datos!BF19," - ")</f>
        <v>-0.27772596407282757</v>
      </c>
      <c r="K19" s="373">
        <f>IF(ISNUMBER((Tasas!E19-Datos!BG19)/Datos!BG19),(Tasas!E19-Datos!BG19)/Datos!BG19," - ")</f>
        <v>0.14856626939413362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0.51620022719678471</v>
      </c>
      <c r="E21" s="282">
        <f t="shared" si="1"/>
        <v>1.173978918780644</v>
      </c>
      <c r="F21" s="282">
        <f t="shared" si="1"/>
        <v>0.54732821968741541</v>
      </c>
      <c r="G21" s="283">
        <f t="shared" si="1"/>
        <v>1.2051409201454879</v>
      </c>
      <c r="H21" s="289">
        <f t="shared" si="1"/>
        <v>0.27637843901297099</v>
      </c>
      <c r="I21" s="281">
        <f t="shared" si="1"/>
        <v>0.38118929626357806</v>
      </c>
      <c r="J21" s="282">
        <f t="shared" si="1"/>
        <v>0.3881003078211277</v>
      </c>
      <c r="K21" s="283">
        <f t="shared" si="1"/>
        <v>0.20445022432299692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MeCNqUPfz+o52n8fR1SblIhMI/18cEU8yKzzD8IJuBMnVBlEG8v0dP5zREf38CdiKQKU4Sv4/9mLQsvAn4MRw==" saltValue="xFwvXDul2Ts7mrvV+EHa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